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Ex unidad C\PerRZM\Documentos\FengShui\"/>
    </mc:Choice>
  </mc:AlternateContent>
  <bookViews>
    <workbookView xWindow="0" yWindow="0" windowWidth="24000" windowHeight="8340" tabRatio="719"/>
  </bookViews>
  <sheets>
    <sheet name="Ki" sheetId="1" r:id="rId1"/>
    <sheet name="BIorritmo" sheetId="14" r:id="rId2"/>
    <sheet name="Predicción x Casa" sheetId="11" state="hidden" r:id="rId3"/>
    <sheet name="Compativilidad de Pareja" sheetId="10" state="hidden" r:id="rId4"/>
    <sheet name="1a estrella" sheetId="2" state="hidden" r:id="rId5"/>
    <sheet name="2a Estrella " sheetId="3" state="hidden" r:id="rId6"/>
    <sheet name="Cálculo de 2a. Estrella" sheetId="4" state="hidden" r:id="rId7"/>
    <sheet name="3a Estrella" sheetId="5" state="hidden" r:id="rId8"/>
    <sheet name="Horóscopo" sheetId="7" state="hidden" r:id="rId9"/>
    <sheet name="Signo Resultado" sheetId="8" state="hidden" r:id="rId10"/>
    <sheet name="Ascendente" sheetId="9" state="hidden" r:id="rId11"/>
    <sheet name="Signos" sheetId="6" state="hidden" r:id="rId12"/>
    <sheet name="Hoja1" sheetId="12" state="hidden" r:id="rId13"/>
    <sheet name="Hoja2" sheetId="13" state="hidden" r:id="rId14"/>
  </sheets>
  <definedNames>
    <definedName name="_xlnm.Print_Area" localSheetId="5">'2a Estrella '!$A$1:$BB$2</definedName>
    <definedName name="_xlnm.Print_Area" localSheetId="1">BIorritmo!$A$2:$S$366</definedName>
    <definedName name="_xlnm.Print_Area" localSheetId="0">Ki!$A$1:$AM$176</definedName>
    <definedName name="compañero">INDEX(Hoja2!$B$2:$B$13,MATCH(UPPER(Ki!$R$7),Hoja2!$A$2:$A$13,0))</definedName>
    <definedName name="horoscopo">INDEX(Hoja2!$B$2:$B$13,MATCH(Ki!$AK$10,Hoja2!$A$2:$A$13,0))</definedName>
    <definedName name="NOMBRE">Hoja2!$A$2:$A$13</definedName>
    <definedName name="simbolo">Hoja2!$B$2:$B$13</definedName>
    <definedName name="_xlnm.Print_Titles" localSheetId="1">BIorritmo!$1:$1</definedName>
    <definedName name="_xlnm.Print_Titles" localSheetId="0">Ki!$1:$10</definedName>
  </definedNames>
  <calcPr calcId="162913"/>
</workbook>
</file>

<file path=xl/calcChain.xml><?xml version="1.0" encoding="utf-8"?>
<calcChain xmlns="http://schemas.openxmlformats.org/spreadsheetml/2006/main">
  <c r="C7" i="14" l="1"/>
  <c r="L8" i="1" l="1"/>
  <c r="B103" i="1"/>
  <c r="Q20" i="4" l="1"/>
  <c r="C8" i="1"/>
  <c r="AK10" i="1" s="1"/>
  <c r="AK7" i="1"/>
  <c r="A2" i="10" s="1"/>
  <c r="B1" i="14" l="1"/>
  <c r="H1" i="14"/>
  <c r="C3" i="14"/>
  <c r="C4" i="14" s="1"/>
  <c r="C5" i="14" s="1"/>
  <c r="C6" i="14" s="1"/>
  <c r="G368" i="14"/>
  <c r="H368" i="14" s="1"/>
  <c r="I368" i="14" s="1"/>
  <c r="C8" i="14" l="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C238" i="14" s="1"/>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C356" i="14" s="1"/>
  <c r="C357" i="14" s="1"/>
  <c r="C358" i="14" s="1"/>
  <c r="C359" i="14" s="1"/>
  <c r="C360" i="14" s="1"/>
  <c r="C361" i="14" s="1"/>
  <c r="C362" i="14" s="1"/>
  <c r="C363" i="14" s="1"/>
  <c r="C364" i="14" s="1"/>
  <c r="C365" i="14" s="1"/>
  <c r="C366" i="14" s="1"/>
  <c r="AV2" i="1"/>
  <c r="AV3" i="1" s="1"/>
  <c r="AV4" i="1" s="1"/>
  <c r="AV5" i="1" s="1"/>
  <c r="AV6" i="1" s="1"/>
  <c r="AV7" i="1" s="1"/>
  <c r="AV8" i="1" s="1"/>
  <c r="AV9" i="1" s="1"/>
  <c r="AV10" i="1" s="1"/>
  <c r="AV12" i="1"/>
  <c r="AV13" i="1" s="1"/>
  <c r="AV14" i="1" s="1"/>
  <c r="AV15" i="1" s="1"/>
  <c r="AV16" i="1" s="1"/>
  <c r="AV17" i="1" s="1"/>
  <c r="AV18" i="1" s="1"/>
  <c r="AV19" i="1" s="1"/>
  <c r="AV20" i="1" s="1"/>
  <c r="AV21" i="1" s="1"/>
  <c r="AV22" i="1" s="1"/>
  <c r="AV23" i="1" s="1"/>
  <c r="AV24" i="1" s="1"/>
  <c r="AV25" i="1" s="1"/>
  <c r="AV26" i="1" s="1"/>
  <c r="AV27" i="1" s="1"/>
  <c r="AV28" i="1" s="1"/>
  <c r="AV29" i="1" s="1"/>
  <c r="AV30" i="1" s="1"/>
  <c r="AV31" i="1" s="1"/>
  <c r="AV32" i="1" s="1"/>
  <c r="AV33" i="1" s="1"/>
  <c r="AV34" i="1" s="1"/>
  <c r="AV35" i="1" s="1"/>
  <c r="AW3" i="1"/>
  <c r="AW4" i="1" s="1"/>
  <c r="AW5" i="1" s="1"/>
  <c r="AW6" i="1" s="1"/>
  <c r="AW7" i="1" s="1"/>
  <c r="AW8" i="1" s="1"/>
  <c r="AW9" i="1" s="1"/>
  <c r="AW10" i="1" s="1"/>
  <c r="AW11" i="1" l="1"/>
  <c r="AW12" i="1" s="1"/>
  <c r="AW13" i="1" s="1"/>
  <c r="AW14" i="1" s="1"/>
  <c r="AW15" i="1" s="1"/>
  <c r="AW16" i="1" s="1"/>
  <c r="AW17" i="1" s="1"/>
  <c r="AW18" i="1" s="1"/>
  <c r="AW19" i="1" s="1"/>
  <c r="AW20" i="1" s="1"/>
  <c r="AW21" i="1" s="1"/>
  <c r="AW22" i="1" s="1"/>
  <c r="AW23" i="1" s="1"/>
  <c r="AW24" i="1" s="1"/>
  <c r="AW25" i="1" s="1"/>
  <c r="AW26" i="1" s="1"/>
  <c r="AW27" i="1" s="1"/>
  <c r="AW28" i="1" s="1"/>
  <c r="AW29" i="1" s="1"/>
  <c r="AW30" i="1" s="1"/>
  <c r="AW31" i="1" s="1"/>
  <c r="AW32" i="1" s="1"/>
  <c r="AW33" i="1" s="1"/>
  <c r="AW34" i="1" s="1"/>
  <c r="AW35" i="1" s="1"/>
  <c r="J135" i="7"/>
  <c r="L135" i="7" s="1"/>
  <c r="I135" i="7"/>
  <c r="K135" i="7" s="1"/>
  <c r="J134" i="7"/>
  <c r="L134" i="7" s="1"/>
  <c r="I134" i="7"/>
  <c r="K134" i="7"/>
  <c r="J133" i="7"/>
  <c r="L133" i="7" s="1"/>
  <c r="I133" i="7"/>
  <c r="K133" i="7" s="1"/>
  <c r="J132" i="7"/>
  <c r="L132" i="7" s="1"/>
  <c r="I132" i="7"/>
  <c r="K132" i="7"/>
  <c r="I124" i="7"/>
  <c r="K124" i="7" s="1"/>
  <c r="J124" i="7"/>
  <c r="L124" i="7" s="1"/>
  <c r="I125" i="7"/>
  <c r="J125" i="7"/>
  <c r="L125" i="7"/>
  <c r="K125" i="7"/>
  <c r="I126" i="7"/>
  <c r="K126" i="7" s="1"/>
  <c r="J126" i="7"/>
  <c r="L126" i="7" s="1"/>
  <c r="I127" i="7"/>
  <c r="K127" i="7"/>
  <c r="J127" i="7"/>
  <c r="L127" i="7" s="1"/>
  <c r="I128" i="7"/>
  <c r="K128" i="7" s="1"/>
  <c r="J128" i="7"/>
  <c r="L128" i="7" s="1"/>
  <c r="I129" i="7"/>
  <c r="K129" i="7"/>
  <c r="J129" i="7"/>
  <c r="L129" i="7" s="1"/>
  <c r="I130" i="7"/>
  <c r="K130" i="7" s="1"/>
  <c r="J130" i="7"/>
  <c r="L130" i="7" s="1"/>
  <c r="I131" i="7"/>
  <c r="M131" i="7" s="1"/>
  <c r="K131" i="7"/>
  <c r="J131" i="7"/>
  <c r="L131" i="7" s="1"/>
  <c r="V10" i="1"/>
  <c r="P5" i="9"/>
  <c r="P6" i="9"/>
  <c r="P7" i="9"/>
  <c r="P8" i="9"/>
  <c r="P9" i="9"/>
  <c r="P10" i="9"/>
  <c r="P11" i="9"/>
  <c r="P12" i="9"/>
  <c r="P13" i="9"/>
  <c r="P14" i="9"/>
  <c r="P15" i="9"/>
  <c r="P16" i="9"/>
  <c r="P4" i="9"/>
  <c r="O5" i="9"/>
  <c r="O6" i="9"/>
  <c r="O7" i="9"/>
  <c r="O8" i="9"/>
  <c r="O9" i="9"/>
  <c r="O10" i="9"/>
  <c r="O11" i="9"/>
  <c r="O12" i="9"/>
  <c r="O13" i="9"/>
  <c r="O14" i="9"/>
  <c r="O15" i="9"/>
  <c r="O16" i="9"/>
  <c r="O4" i="9"/>
  <c r="N5" i="9"/>
  <c r="N6" i="9"/>
  <c r="N7" i="9"/>
  <c r="N8" i="9"/>
  <c r="N9" i="9"/>
  <c r="N10" i="9"/>
  <c r="N11" i="9"/>
  <c r="N12" i="9"/>
  <c r="N13" i="9"/>
  <c r="N14" i="9"/>
  <c r="N15" i="9"/>
  <c r="N16" i="9"/>
  <c r="N4" i="9"/>
  <c r="M5" i="9"/>
  <c r="M6" i="9"/>
  <c r="M7" i="9"/>
  <c r="M8" i="9"/>
  <c r="M9" i="9"/>
  <c r="M10" i="9"/>
  <c r="M11" i="9"/>
  <c r="M12" i="9"/>
  <c r="M13" i="9"/>
  <c r="M14" i="9"/>
  <c r="M15" i="9"/>
  <c r="M16" i="9"/>
  <c r="M4" i="9"/>
  <c r="L5" i="9"/>
  <c r="L6" i="9"/>
  <c r="L7" i="9"/>
  <c r="L8" i="9"/>
  <c r="L9" i="9"/>
  <c r="L10" i="9"/>
  <c r="L11" i="9"/>
  <c r="L12" i="9"/>
  <c r="L13" i="9"/>
  <c r="L14" i="9"/>
  <c r="L15" i="9"/>
  <c r="L16" i="9"/>
  <c r="L4" i="9"/>
  <c r="K5" i="9"/>
  <c r="K6" i="9"/>
  <c r="K7" i="9"/>
  <c r="K8" i="9"/>
  <c r="K9" i="9"/>
  <c r="K10" i="9"/>
  <c r="K11" i="9"/>
  <c r="K12" i="9"/>
  <c r="K13" i="9"/>
  <c r="K14" i="9"/>
  <c r="K15" i="9"/>
  <c r="K16" i="9"/>
  <c r="K4" i="9"/>
  <c r="J16" i="9"/>
  <c r="I14" i="9"/>
  <c r="I15" i="9"/>
  <c r="I16" i="9"/>
  <c r="E4" i="9"/>
  <c r="H15" i="9"/>
  <c r="H16" i="9"/>
  <c r="G15" i="9"/>
  <c r="G16" i="9"/>
  <c r="F16" i="9"/>
  <c r="F15" i="9"/>
  <c r="E16" i="9"/>
  <c r="J15" i="9"/>
  <c r="J5" i="9"/>
  <c r="J6" i="9"/>
  <c r="J7" i="9"/>
  <c r="J8" i="9"/>
  <c r="J9" i="9"/>
  <c r="J10" i="9"/>
  <c r="J11" i="9"/>
  <c r="J12" i="9"/>
  <c r="J13" i="9"/>
  <c r="J14" i="9"/>
  <c r="J4" i="9"/>
  <c r="I5" i="9"/>
  <c r="I6" i="9"/>
  <c r="I7" i="9"/>
  <c r="I8" i="9"/>
  <c r="I9" i="9"/>
  <c r="I10" i="9"/>
  <c r="I11" i="9"/>
  <c r="I12" i="9"/>
  <c r="I13" i="9"/>
  <c r="I4" i="9"/>
  <c r="H5" i="9"/>
  <c r="H6" i="9"/>
  <c r="H7" i="9"/>
  <c r="H8" i="9"/>
  <c r="H9" i="9"/>
  <c r="H10" i="9"/>
  <c r="H11" i="9"/>
  <c r="H12" i="9"/>
  <c r="H13" i="9"/>
  <c r="H14" i="9"/>
  <c r="H4" i="9"/>
  <c r="G5" i="9"/>
  <c r="G6" i="9"/>
  <c r="G7" i="9"/>
  <c r="G8" i="9"/>
  <c r="G9" i="9"/>
  <c r="G10" i="9"/>
  <c r="G11" i="9"/>
  <c r="G12" i="9"/>
  <c r="G13" i="9"/>
  <c r="G14" i="9"/>
  <c r="G4" i="9"/>
  <c r="F5" i="9"/>
  <c r="F6" i="9"/>
  <c r="F7" i="9"/>
  <c r="F8" i="9"/>
  <c r="F9" i="9"/>
  <c r="F10" i="9"/>
  <c r="F11" i="9"/>
  <c r="F12" i="9"/>
  <c r="F13" i="9"/>
  <c r="F14" i="9"/>
  <c r="F4" i="9"/>
  <c r="E6" i="9"/>
  <c r="E7" i="9"/>
  <c r="E8" i="9"/>
  <c r="E9" i="9"/>
  <c r="E10" i="9"/>
  <c r="E11" i="9"/>
  <c r="E12" i="9"/>
  <c r="E13" i="9"/>
  <c r="E14" i="9"/>
  <c r="E15" i="9"/>
  <c r="E5" i="9"/>
  <c r="K135" i="1"/>
  <c r="O135" i="1" s="1"/>
  <c r="G135" i="1" s="1"/>
  <c r="F134" i="1" s="1"/>
  <c r="I19" i="1"/>
  <c r="K130" i="1" s="1"/>
  <c r="G8" i="1"/>
  <c r="G21" i="4" s="1"/>
  <c r="C4" i="4"/>
  <c r="F10" i="4"/>
  <c r="F4" i="4"/>
  <c r="F5" i="4"/>
  <c r="F6" i="4"/>
  <c r="F7" i="4"/>
  <c r="F8" i="4"/>
  <c r="F9" i="4"/>
  <c r="F11" i="4"/>
  <c r="F12" i="4"/>
  <c r="F13" i="4"/>
  <c r="F14" i="4"/>
  <c r="F15" i="4"/>
  <c r="C123" i="7"/>
  <c r="I123" i="7" s="1"/>
  <c r="M123" i="7" s="1"/>
  <c r="C122" i="7"/>
  <c r="C120" i="7"/>
  <c r="C119" i="7"/>
  <c r="I119" i="7" s="1"/>
  <c r="C113" i="7"/>
  <c r="I113" i="7"/>
  <c r="I23" i="7"/>
  <c r="K23" i="7" s="1"/>
  <c r="G123" i="7"/>
  <c r="G122" i="7"/>
  <c r="J122" i="7"/>
  <c r="M122" i="7"/>
  <c r="G121" i="7"/>
  <c r="G120" i="7"/>
  <c r="G119" i="7"/>
  <c r="G118" i="7"/>
  <c r="J118" i="7"/>
  <c r="L118" i="7" s="1"/>
  <c r="G117" i="7"/>
  <c r="J117" i="7"/>
  <c r="M117" i="7" s="1"/>
  <c r="G116" i="7"/>
  <c r="G115" i="7"/>
  <c r="G114" i="7"/>
  <c r="G113" i="7"/>
  <c r="G112" i="7"/>
  <c r="J112" i="7"/>
  <c r="D123" i="7"/>
  <c r="K123" i="7" s="1"/>
  <c r="D122" i="7"/>
  <c r="I122" i="7"/>
  <c r="D121" i="7"/>
  <c r="D120" i="7"/>
  <c r="D119" i="7"/>
  <c r="D118" i="7"/>
  <c r="D117" i="7"/>
  <c r="I117" i="7" s="1"/>
  <c r="K117" i="7" s="1"/>
  <c r="D116" i="7"/>
  <c r="D115" i="7"/>
  <c r="D114" i="7"/>
  <c r="D113" i="7"/>
  <c r="K113" i="7" s="1"/>
  <c r="D112" i="7"/>
  <c r="B62" i="1"/>
  <c r="B60" i="1"/>
  <c r="DG49" i="1"/>
  <c r="CI49" i="1"/>
  <c r="DG53" i="1"/>
  <c r="CI53" i="1"/>
  <c r="R7" i="1"/>
  <c r="U55" i="1" s="1"/>
  <c r="DG48" i="1"/>
  <c r="DF48" i="1"/>
  <c r="DG47" i="1"/>
  <c r="CI47" i="1"/>
  <c r="DD46" i="1"/>
  <c r="DC46" i="1"/>
  <c r="DD45" i="1"/>
  <c r="CF45" i="1"/>
  <c r="AB67" i="1"/>
  <c r="O67" i="1"/>
  <c r="B67" i="1"/>
  <c r="A145" i="9"/>
  <c r="A75" i="9"/>
  <c r="A158" i="9"/>
  <c r="A21" i="9"/>
  <c r="A43" i="9"/>
  <c r="A40" i="9"/>
  <c r="A60" i="9"/>
  <c r="C5" i="4"/>
  <c r="C6" i="4"/>
  <c r="C15" i="4"/>
  <c r="C14" i="4"/>
  <c r="C13" i="4"/>
  <c r="C12" i="4"/>
  <c r="C11" i="4"/>
  <c r="C10" i="4"/>
  <c r="C9" i="4"/>
  <c r="C8" i="4"/>
  <c r="C7" i="4"/>
  <c r="I11" i="7"/>
  <c r="K11" i="7" s="1"/>
  <c r="I15" i="7"/>
  <c r="K15" i="7"/>
  <c r="I5" i="7"/>
  <c r="K5" i="7"/>
  <c r="J5" i="7"/>
  <c r="L5" i="7"/>
  <c r="I6" i="7"/>
  <c r="K6" i="7" s="1"/>
  <c r="J6" i="7"/>
  <c r="L6" i="7"/>
  <c r="I7" i="7"/>
  <c r="K7" i="7"/>
  <c r="J7" i="7"/>
  <c r="I8" i="7"/>
  <c r="K8" i="7"/>
  <c r="J8" i="7"/>
  <c r="I9" i="7"/>
  <c r="K9" i="7"/>
  <c r="J9" i="7"/>
  <c r="I10" i="7"/>
  <c r="K10" i="7" s="1"/>
  <c r="J10" i="7"/>
  <c r="M10" i="7"/>
  <c r="J11" i="7"/>
  <c r="M11" i="7" s="1"/>
  <c r="I12" i="7"/>
  <c r="K12" i="7" s="1"/>
  <c r="J12" i="7"/>
  <c r="L12" i="7" s="1"/>
  <c r="I13" i="7"/>
  <c r="K13" i="7"/>
  <c r="J13" i="7"/>
  <c r="I14" i="7"/>
  <c r="J14" i="7"/>
  <c r="L14" i="7" s="1"/>
  <c r="J15" i="7"/>
  <c r="M15" i="7" s="1"/>
  <c r="I16" i="7"/>
  <c r="K16" i="7"/>
  <c r="J16" i="7"/>
  <c r="I17" i="7"/>
  <c r="K17" i="7"/>
  <c r="J17" i="7"/>
  <c r="I18" i="7"/>
  <c r="K18" i="7" s="1"/>
  <c r="J18" i="7"/>
  <c r="L18" i="7"/>
  <c r="I19" i="7"/>
  <c r="K19" i="7" s="1"/>
  <c r="J19" i="7"/>
  <c r="I20" i="7"/>
  <c r="K20" i="7"/>
  <c r="J20" i="7"/>
  <c r="I21" i="7"/>
  <c r="K21" i="7"/>
  <c r="J21" i="7"/>
  <c r="I22" i="7"/>
  <c r="M22" i="7" s="1"/>
  <c r="K22" i="7"/>
  <c r="J22" i="7"/>
  <c r="J23" i="7"/>
  <c r="M23" i="7"/>
  <c r="I24" i="7"/>
  <c r="K24" i="7" s="1"/>
  <c r="J24" i="7"/>
  <c r="L24" i="7"/>
  <c r="I25" i="7"/>
  <c r="K25" i="7"/>
  <c r="J25" i="7"/>
  <c r="L25" i="7"/>
  <c r="I26" i="7"/>
  <c r="K26" i="7" s="1"/>
  <c r="J26" i="7"/>
  <c r="I27" i="7"/>
  <c r="J27" i="7"/>
  <c r="L27" i="7"/>
  <c r="I28" i="7"/>
  <c r="K28" i="7"/>
  <c r="J28" i="7"/>
  <c r="L28" i="7" s="1"/>
  <c r="I29" i="7"/>
  <c r="K29" i="7"/>
  <c r="J29" i="7"/>
  <c r="L29" i="7"/>
  <c r="I30" i="7"/>
  <c r="K30" i="7"/>
  <c r="J30" i="7"/>
  <c r="L30" i="7" s="1"/>
  <c r="I31" i="7"/>
  <c r="J31" i="7"/>
  <c r="L31" i="7"/>
  <c r="I32" i="7"/>
  <c r="K32" i="7"/>
  <c r="J32" i="7"/>
  <c r="L32" i="7"/>
  <c r="I33" i="7"/>
  <c r="M33" i="7" s="1"/>
  <c r="J33" i="7"/>
  <c r="L33" i="7"/>
  <c r="I34" i="7"/>
  <c r="K34" i="7" s="1"/>
  <c r="J34" i="7"/>
  <c r="I35" i="7"/>
  <c r="K35" i="7" s="1"/>
  <c r="M35" i="7"/>
  <c r="J35" i="7"/>
  <c r="L35" i="7" s="1"/>
  <c r="I36" i="7"/>
  <c r="K36" i="7" s="1"/>
  <c r="J36" i="7"/>
  <c r="L36" i="7" s="1"/>
  <c r="I37" i="7"/>
  <c r="K37" i="7"/>
  <c r="J37" i="7"/>
  <c r="L37" i="7" s="1"/>
  <c r="I38" i="7"/>
  <c r="K38" i="7" s="1"/>
  <c r="J38" i="7"/>
  <c r="I39" i="7"/>
  <c r="K39" i="7"/>
  <c r="J39" i="7"/>
  <c r="L39" i="7" s="1"/>
  <c r="I40" i="7"/>
  <c r="K40" i="7"/>
  <c r="J40" i="7"/>
  <c r="L40" i="7"/>
  <c r="I41" i="7"/>
  <c r="K41" i="7"/>
  <c r="J41" i="7"/>
  <c r="L41" i="7" s="1"/>
  <c r="I42" i="7"/>
  <c r="K42" i="7"/>
  <c r="J42" i="7"/>
  <c r="I43" i="7"/>
  <c r="J43" i="7"/>
  <c r="L43" i="7"/>
  <c r="I44" i="7"/>
  <c r="K44" i="7" s="1"/>
  <c r="J44" i="7"/>
  <c r="L44" i="7"/>
  <c r="I45" i="7"/>
  <c r="K45" i="7"/>
  <c r="J45" i="7"/>
  <c r="L45" i="7"/>
  <c r="I46" i="7"/>
  <c r="K46" i="7" s="1"/>
  <c r="J46" i="7"/>
  <c r="L46" i="7"/>
  <c r="I47" i="7"/>
  <c r="J47" i="7"/>
  <c r="L47" i="7" s="1"/>
  <c r="I48" i="7"/>
  <c r="K48" i="7"/>
  <c r="J48" i="7"/>
  <c r="L48" i="7" s="1"/>
  <c r="I49" i="7"/>
  <c r="J49" i="7"/>
  <c r="M49" i="7" s="1"/>
  <c r="I50" i="7"/>
  <c r="M50" i="7" s="1"/>
  <c r="K50" i="7"/>
  <c r="J50" i="7"/>
  <c r="I51" i="7"/>
  <c r="J51" i="7"/>
  <c r="L51" i="7" s="1"/>
  <c r="I52" i="7"/>
  <c r="K52" i="7" s="1"/>
  <c r="I53" i="7"/>
  <c r="K53" i="7"/>
  <c r="I54" i="7"/>
  <c r="K54" i="7" s="1"/>
  <c r="I55" i="7"/>
  <c r="K55" i="7" s="1"/>
  <c r="I56" i="7"/>
  <c r="K56" i="7" s="1"/>
  <c r="I57" i="7"/>
  <c r="K57" i="7"/>
  <c r="I58" i="7"/>
  <c r="K58" i="7" s="1"/>
  <c r="I59" i="7"/>
  <c r="K59" i="7" s="1"/>
  <c r="I60" i="7"/>
  <c r="K60" i="7" s="1"/>
  <c r="I61" i="7"/>
  <c r="K61" i="7"/>
  <c r="I62" i="7"/>
  <c r="K62" i="7"/>
  <c r="I63" i="7"/>
  <c r="K63" i="7"/>
  <c r="I64" i="7"/>
  <c r="K64" i="7"/>
  <c r="CU48" i="1" s="1"/>
  <c r="I65" i="7"/>
  <c r="K65" i="7" s="1"/>
  <c r="I66" i="7"/>
  <c r="K66" i="7"/>
  <c r="I67" i="7"/>
  <c r="K67" i="7"/>
  <c r="I68" i="7"/>
  <c r="K68" i="7"/>
  <c r="I69" i="7"/>
  <c r="K69" i="7" s="1"/>
  <c r="I70" i="7"/>
  <c r="K70" i="7"/>
  <c r="I71" i="7"/>
  <c r="K71" i="7"/>
  <c r="I72" i="7"/>
  <c r="K72" i="7"/>
  <c r="I73" i="7"/>
  <c r="K73" i="7" s="1"/>
  <c r="I74" i="7"/>
  <c r="K74" i="7"/>
  <c r="I75" i="7"/>
  <c r="K75" i="7"/>
  <c r="I76" i="7"/>
  <c r="K76" i="7"/>
  <c r="I77" i="7"/>
  <c r="K77" i="7" s="1"/>
  <c r="I78" i="7"/>
  <c r="K78" i="7"/>
  <c r="I79" i="7"/>
  <c r="K79" i="7"/>
  <c r="I80" i="7"/>
  <c r="K80" i="7"/>
  <c r="I81" i="7"/>
  <c r="K81" i="7" s="1"/>
  <c r="I82" i="7"/>
  <c r="K82" i="7"/>
  <c r="I83" i="7"/>
  <c r="K83" i="7"/>
  <c r="I84" i="7"/>
  <c r="K84" i="7"/>
  <c r="I85" i="7"/>
  <c r="K85" i="7" s="1"/>
  <c r="I86" i="7"/>
  <c r="K86" i="7"/>
  <c r="I87" i="7"/>
  <c r="K87" i="7"/>
  <c r="I88" i="7"/>
  <c r="K88" i="7"/>
  <c r="I89" i="7"/>
  <c r="K89" i="7" s="1"/>
  <c r="I90" i="7"/>
  <c r="K90" i="7"/>
  <c r="I91" i="7"/>
  <c r="K91" i="7"/>
  <c r="I92" i="7"/>
  <c r="K92" i="7"/>
  <c r="I93" i="7"/>
  <c r="K93" i="7" s="1"/>
  <c r="I94" i="7"/>
  <c r="K94" i="7"/>
  <c r="I95" i="7"/>
  <c r="K95" i="7" s="1"/>
  <c r="I96" i="7"/>
  <c r="K96" i="7"/>
  <c r="I97" i="7"/>
  <c r="K97" i="7" s="1"/>
  <c r="I98" i="7"/>
  <c r="K98" i="7"/>
  <c r="I99" i="7"/>
  <c r="K99" i="7" s="1"/>
  <c r="I100" i="7"/>
  <c r="K100" i="7"/>
  <c r="I101" i="7"/>
  <c r="K101" i="7" s="1"/>
  <c r="I102" i="7"/>
  <c r="K102" i="7"/>
  <c r="I103" i="7"/>
  <c r="K103" i="7" s="1"/>
  <c r="I104" i="7"/>
  <c r="K104" i="7"/>
  <c r="I105" i="7"/>
  <c r="K105" i="7" s="1"/>
  <c r="I106" i="7"/>
  <c r="K106" i="7" s="1"/>
  <c r="J106" i="7"/>
  <c r="L106" i="7" s="1"/>
  <c r="I107" i="7"/>
  <c r="K107" i="7" s="1"/>
  <c r="I108" i="7"/>
  <c r="K108" i="7"/>
  <c r="I109" i="7"/>
  <c r="K109" i="7" s="1"/>
  <c r="I110" i="7"/>
  <c r="K110" i="7"/>
  <c r="I111" i="7"/>
  <c r="K111" i="7" s="1"/>
  <c r="J111" i="7"/>
  <c r="J4" i="7"/>
  <c r="M4" i="7" s="1"/>
  <c r="L4" i="7"/>
  <c r="I4" i="7"/>
  <c r="K4" i="7"/>
  <c r="F110" i="7"/>
  <c r="J110" i="7" s="1"/>
  <c r="F109" i="7"/>
  <c r="J109" i="7"/>
  <c r="L109" i="7" s="1"/>
  <c r="F108" i="7"/>
  <c r="J108" i="7"/>
  <c r="L108" i="7" s="1"/>
  <c r="F107" i="7"/>
  <c r="J107" i="7" s="1"/>
  <c r="F105" i="7"/>
  <c r="J105" i="7"/>
  <c r="L105" i="7" s="1"/>
  <c r="F104" i="7"/>
  <c r="J104" i="7"/>
  <c r="L104" i="7" s="1"/>
  <c r="F103" i="7"/>
  <c r="J103" i="7" s="1"/>
  <c r="F102" i="7"/>
  <c r="J102" i="7"/>
  <c r="L102" i="7" s="1"/>
  <c r="F101" i="7"/>
  <c r="J101" i="7" s="1"/>
  <c r="F100" i="7"/>
  <c r="J100" i="7"/>
  <c r="F99" i="7"/>
  <c r="J99" i="7"/>
  <c r="M99" i="7" s="1"/>
  <c r="F98" i="7"/>
  <c r="J98" i="7"/>
  <c r="L98" i="7" s="1"/>
  <c r="F97" i="7"/>
  <c r="J97" i="7" s="1"/>
  <c r="F96" i="7"/>
  <c r="J96" i="7"/>
  <c r="L96" i="7" s="1"/>
  <c r="F95" i="7"/>
  <c r="J95" i="7"/>
  <c r="L95" i="7" s="1"/>
  <c r="F94" i="7"/>
  <c r="J94" i="7" s="1"/>
  <c r="F93" i="7"/>
  <c r="J93" i="7"/>
  <c r="L93" i="7" s="1"/>
  <c r="F92" i="7"/>
  <c r="J92" i="7" s="1"/>
  <c r="F91" i="7"/>
  <c r="J91" i="7"/>
  <c r="F90" i="7"/>
  <c r="J90" i="7"/>
  <c r="L90" i="7" s="1"/>
  <c r="F89" i="7"/>
  <c r="J89" i="7" s="1"/>
  <c r="F88" i="7"/>
  <c r="J88" i="7" s="1"/>
  <c r="F87" i="7"/>
  <c r="J87" i="7"/>
  <c r="M87" i="7" s="1"/>
  <c r="F86" i="7"/>
  <c r="J86" i="7" s="1"/>
  <c r="F85" i="7"/>
  <c r="J85" i="7"/>
  <c r="F84" i="7"/>
  <c r="J84" i="7"/>
  <c r="L84" i="7" s="1"/>
  <c r="F83" i="7"/>
  <c r="J83" i="7"/>
  <c r="M83" i="7" s="1"/>
  <c r="F82" i="7"/>
  <c r="J82" i="7" s="1"/>
  <c r="F81" i="7"/>
  <c r="J81" i="7"/>
  <c r="L81" i="7" s="1"/>
  <c r="F80" i="7"/>
  <c r="J80" i="7" s="1"/>
  <c r="F79" i="7"/>
  <c r="J79" i="7" s="1"/>
  <c r="F78" i="7"/>
  <c r="J78" i="7"/>
  <c r="L78" i="7" s="1"/>
  <c r="M78" i="7"/>
  <c r="F77" i="7"/>
  <c r="J77" i="7"/>
  <c r="L77" i="7" s="1"/>
  <c r="F76" i="7"/>
  <c r="J76" i="7" s="1"/>
  <c r="F75" i="7"/>
  <c r="J75" i="7"/>
  <c r="M75" i="7" s="1"/>
  <c r="F74" i="7"/>
  <c r="J74" i="7" s="1"/>
  <c r="F73" i="7"/>
  <c r="J73" i="7" s="1"/>
  <c r="F72" i="7"/>
  <c r="J72" i="7"/>
  <c r="M72" i="7" s="1"/>
  <c r="F71" i="7"/>
  <c r="J71" i="7"/>
  <c r="M71" i="7" s="1"/>
  <c r="F70" i="7"/>
  <c r="J70" i="7" s="1"/>
  <c r="F69" i="7"/>
  <c r="J69" i="7"/>
  <c r="M69" i="7" s="1"/>
  <c r="F68" i="7"/>
  <c r="J68" i="7" s="1"/>
  <c r="F67" i="7"/>
  <c r="J67" i="7" s="1"/>
  <c r="F66" i="7"/>
  <c r="J66" i="7"/>
  <c r="M66" i="7" s="1"/>
  <c r="F65" i="7"/>
  <c r="J65" i="7" s="1"/>
  <c r="F64" i="7"/>
  <c r="J64" i="7"/>
  <c r="L64" i="7" s="1"/>
  <c r="M64" i="7"/>
  <c r="F63" i="7"/>
  <c r="J63" i="7" s="1"/>
  <c r="F54" i="7"/>
  <c r="J54" i="7" s="1"/>
  <c r="F55" i="7"/>
  <c r="J55" i="7"/>
  <c r="M55" i="7" s="1"/>
  <c r="L55" i="7"/>
  <c r="F56" i="7"/>
  <c r="J56" i="7" s="1"/>
  <c r="F57" i="7"/>
  <c r="J57" i="7" s="1"/>
  <c r="F58" i="7"/>
  <c r="J58" i="7"/>
  <c r="L58" i="7" s="1"/>
  <c r="M58" i="7"/>
  <c r="F59" i="7"/>
  <c r="J59" i="7"/>
  <c r="M59" i="7" s="1"/>
  <c r="F60" i="7"/>
  <c r="J60" i="7" s="1"/>
  <c r="F61" i="7"/>
  <c r="J61" i="7"/>
  <c r="L61" i="7" s="1"/>
  <c r="M61" i="7"/>
  <c r="F62" i="7"/>
  <c r="J62" i="7"/>
  <c r="M62" i="7" s="1"/>
  <c r="F53" i="7"/>
  <c r="J53" i="7" s="1"/>
  <c r="F52" i="7"/>
  <c r="J52" i="7"/>
  <c r="L52" i="7" s="1"/>
  <c r="M52" i="7"/>
  <c r="J113" i="7"/>
  <c r="L113" i="7" s="1"/>
  <c r="M113" i="7"/>
  <c r="C114" i="7"/>
  <c r="I114" i="7" s="1"/>
  <c r="K114" i="7" s="1"/>
  <c r="J114" i="7"/>
  <c r="C115" i="7"/>
  <c r="I115" i="7"/>
  <c r="K115" i="7" s="1"/>
  <c r="J115" i="7"/>
  <c r="C116" i="7"/>
  <c r="I116" i="7" s="1"/>
  <c r="J116" i="7"/>
  <c r="C117" i="7"/>
  <c r="C118" i="7"/>
  <c r="I118" i="7"/>
  <c r="K118" i="7" s="1"/>
  <c r="J119" i="7"/>
  <c r="L119" i="7" s="1"/>
  <c r="I120" i="7"/>
  <c r="K120" i="7"/>
  <c r="J121" i="7"/>
  <c r="L121" i="7" s="1"/>
  <c r="C121" i="7"/>
  <c r="I121" i="7"/>
  <c r="K121" i="7" s="1"/>
  <c r="J120" i="7"/>
  <c r="L116" i="7"/>
  <c r="L114" i="7"/>
  <c r="L62" i="7"/>
  <c r="M111" i="7"/>
  <c r="L111" i="7"/>
  <c r="L10" i="7"/>
  <c r="L9" i="7"/>
  <c r="M8" i="7"/>
  <c r="L8" i="7"/>
  <c r="M7" i="7"/>
  <c r="L7" i="7"/>
  <c r="M5" i="7"/>
  <c r="L23" i="7"/>
  <c r="M48" i="7"/>
  <c r="M41" i="7"/>
  <c r="M36" i="7"/>
  <c r="M32" i="7"/>
  <c r="M25" i="7"/>
  <c r="M13" i="7"/>
  <c r="L22" i="7"/>
  <c r="L21" i="7"/>
  <c r="L19" i="7"/>
  <c r="L17" i="7"/>
  <c r="L15" i="7"/>
  <c r="L13" i="7"/>
  <c r="L11" i="7"/>
  <c r="L112" i="7"/>
  <c r="I112" i="7"/>
  <c r="M112" i="7" s="1"/>
  <c r="K112" i="7"/>
  <c r="L85" i="7"/>
  <c r="M29" i="7"/>
  <c r="M37" i="7"/>
  <c r="M45" i="7"/>
  <c r="L50" i="7"/>
  <c r="L42" i="7"/>
  <c r="M42" i="7"/>
  <c r="L38" i="7"/>
  <c r="M38" i="7"/>
  <c r="L34" i="7"/>
  <c r="M34" i="7"/>
  <c r="L26" i="7"/>
  <c r="M96" i="7"/>
  <c r="L100" i="7"/>
  <c r="K51" i="7"/>
  <c r="K47" i="7"/>
  <c r="M47" i="7"/>
  <c r="K43" i="7"/>
  <c r="M43" i="7"/>
  <c r="M39" i="7"/>
  <c r="K31" i="7"/>
  <c r="M31" i="7"/>
  <c r="K27" i="7"/>
  <c r="M27" i="7"/>
  <c r="M20" i="7"/>
  <c r="L20" i="7"/>
  <c r="M16" i="7"/>
  <c r="L16" i="7"/>
  <c r="K14" i="7"/>
  <c r="M14" i="7"/>
  <c r="J123" i="7"/>
  <c r="L123" i="7" s="1"/>
  <c r="K122" i="7"/>
  <c r="M84" i="7"/>
  <c r="M104" i="7"/>
  <c r="M21" i="7"/>
  <c r="M19" i="7"/>
  <c r="M17" i="7"/>
  <c r="M106" i="7"/>
  <c r="M108" i="7"/>
  <c r="M100" i="7"/>
  <c r="L115" i="7"/>
  <c r="L120" i="7"/>
  <c r="M120" i="7"/>
  <c r="L59" i="7"/>
  <c r="L91" i="7"/>
  <c r="M91" i="7"/>
  <c r="M46" i="7"/>
  <c r="M12" i="7"/>
  <c r="M40" i="7"/>
  <c r="M51" i="7"/>
  <c r="K49" i="7"/>
  <c r="M18" i="7"/>
  <c r="L122" i="7"/>
  <c r="M9" i="7"/>
  <c r="M135" i="7"/>
  <c r="M134" i="7"/>
  <c r="M133" i="7"/>
  <c r="M132" i="7"/>
  <c r="M129" i="7"/>
  <c r="M124" i="7"/>
  <c r="M130" i="7"/>
  <c r="M125" i="7"/>
  <c r="Q21" i="4" l="1"/>
  <c r="Q22" i="4" s="1"/>
  <c r="C9" i="1"/>
  <c r="AX2" i="1" s="1"/>
  <c r="BA2" i="1" s="1"/>
  <c r="D368" i="14"/>
  <c r="D2" i="14" s="1"/>
  <c r="G77" i="1"/>
  <c r="F76" i="1" s="1"/>
  <c r="F77" i="1" s="1"/>
  <c r="I76" i="1" s="1"/>
  <c r="G78" i="1" s="1"/>
  <c r="G76" i="1" s="1"/>
  <c r="F78" i="1" s="1"/>
  <c r="I77" i="1" s="1"/>
  <c r="I78" i="1" s="1"/>
  <c r="K106" i="1"/>
  <c r="K155" i="1"/>
  <c r="K112" i="1"/>
  <c r="K136" i="1"/>
  <c r="B99" i="1"/>
  <c r="K26" i="4"/>
  <c r="A1" i="10"/>
  <c r="E15" i="10" s="1"/>
  <c r="K161" i="1"/>
  <c r="K118" i="1"/>
  <c r="K173" i="1"/>
  <c r="K149" i="1"/>
  <c r="K166" i="1"/>
  <c r="O166" i="1" s="1"/>
  <c r="G166" i="1" s="1"/>
  <c r="F165" i="1" s="1"/>
  <c r="F166" i="1" s="1"/>
  <c r="I165" i="1" s="1"/>
  <c r="G167" i="1" s="1"/>
  <c r="G165" i="1" s="1"/>
  <c r="F167" i="1" s="1"/>
  <c r="I166" i="1" s="1"/>
  <c r="I167" i="1" s="1"/>
  <c r="K123" i="1"/>
  <c r="O123" i="1" s="1"/>
  <c r="G123" i="1" s="1"/>
  <c r="F122" i="1" s="1"/>
  <c r="F123" i="1" s="1"/>
  <c r="I122" i="1" s="1"/>
  <c r="G124" i="1" s="1"/>
  <c r="G122" i="1" s="1"/>
  <c r="F124" i="1" s="1"/>
  <c r="I123" i="1" s="1"/>
  <c r="I124" i="1" s="1"/>
  <c r="K160" i="1"/>
  <c r="O160" i="1" s="1"/>
  <c r="G160" i="1" s="1"/>
  <c r="F159" i="1" s="1"/>
  <c r="F160" i="1" s="1"/>
  <c r="I159" i="1" s="1"/>
  <c r="G161" i="1" s="1"/>
  <c r="G159" i="1" s="1"/>
  <c r="F161" i="1" s="1"/>
  <c r="I160" i="1" s="1"/>
  <c r="I161" i="1" s="1"/>
  <c r="K142" i="1"/>
  <c r="O142" i="1" s="1"/>
  <c r="G142" i="1" s="1"/>
  <c r="F141" i="1" s="1"/>
  <c r="F142" i="1" s="1"/>
  <c r="I141" i="1" s="1"/>
  <c r="G143" i="1" s="1"/>
  <c r="G141" i="1" s="1"/>
  <c r="F143" i="1" s="1"/>
  <c r="I142" i="1" s="1"/>
  <c r="I143" i="1" s="1"/>
  <c r="K129" i="1"/>
  <c r="O129" i="1" s="1"/>
  <c r="G129" i="1" s="1"/>
  <c r="F128" i="1" s="1"/>
  <c r="F129" i="1" s="1"/>
  <c r="I128" i="1" s="1"/>
  <c r="G130" i="1" s="1"/>
  <c r="G128" i="1" s="1"/>
  <c r="F130" i="1" s="1"/>
  <c r="I129" i="1" s="1"/>
  <c r="I130" i="1" s="1"/>
  <c r="K117" i="1"/>
  <c r="O117" i="1" s="1"/>
  <c r="G117" i="1" s="1"/>
  <c r="F116" i="1" s="1"/>
  <c r="F117" i="1" s="1"/>
  <c r="I116" i="1" s="1"/>
  <c r="G118" i="1" s="1"/>
  <c r="G116" i="1" s="1"/>
  <c r="F118" i="1" s="1"/>
  <c r="I117" i="1" s="1"/>
  <c r="I118" i="1" s="1"/>
  <c r="M94" i="7"/>
  <c r="L94" i="7"/>
  <c r="M57" i="7"/>
  <c r="L57" i="7"/>
  <c r="L79" i="7"/>
  <c r="M79" i="7"/>
  <c r="M110" i="7"/>
  <c r="L110" i="7"/>
  <c r="M73" i="7"/>
  <c r="L73" i="7"/>
  <c r="M74" i="7"/>
  <c r="L74" i="7"/>
  <c r="M89" i="7"/>
  <c r="L89" i="7"/>
  <c r="M116" i="7"/>
  <c r="K116" i="7"/>
  <c r="A140" i="1" s="1"/>
  <c r="M56" i="7"/>
  <c r="L56" i="7"/>
  <c r="L70" i="7"/>
  <c r="M70" i="7"/>
  <c r="L80" i="7"/>
  <c r="M80" i="7"/>
  <c r="CR46" i="1"/>
  <c r="M68" i="7"/>
  <c r="L68" i="7"/>
  <c r="L60" i="7"/>
  <c r="M60" i="7"/>
  <c r="M76" i="7"/>
  <c r="L76" i="7"/>
  <c r="M88" i="7"/>
  <c r="L88" i="7"/>
  <c r="M65" i="7"/>
  <c r="L65" i="7"/>
  <c r="M86" i="7"/>
  <c r="L86" i="7"/>
  <c r="L101" i="7"/>
  <c r="M101" i="7"/>
  <c r="L107" i="7"/>
  <c r="M107" i="7"/>
  <c r="M63" i="7"/>
  <c r="L63" i="7"/>
  <c r="M82" i="7"/>
  <c r="L82" i="7"/>
  <c r="M92" i="7"/>
  <c r="L92" i="7"/>
  <c r="L97" i="7"/>
  <c r="M97" i="7"/>
  <c r="L103" i="7"/>
  <c r="M103" i="7"/>
  <c r="M53" i="7"/>
  <c r="L53" i="7"/>
  <c r="M114" i="7"/>
  <c r="M54" i="7"/>
  <c r="L54" i="7"/>
  <c r="L67" i="7"/>
  <c r="M67" i="7"/>
  <c r="M119" i="7"/>
  <c r="K119" i="7"/>
  <c r="M109" i="7"/>
  <c r="L117" i="7"/>
  <c r="M115" i="7"/>
  <c r="L49" i="7"/>
  <c r="M128" i="7"/>
  <c r="M105" i="7"/>
  <c r="K33" i="7"/>
  <c r="M118" i="7"/>
  <c r="L71" i="7"/>
  <c r="L66" i="7"/>
  <c r="M26" i="7"/>
  <c r="M95" i="7"/>
  <c r="L87" i="7"/>
  <c r="L75" i="7"/>
  <c r="M24" i="7"/>
  <c r="L83" i="7"/>
  <c r="M126" i="7"/>
  <c r="M102" i="7"/>
  <c r="M98" i="7"/>
  <c r="L72" i="7"/>
  <c r="M30" i="7"/>
  <c r="R5" i="1"/>
  <c r="U54" i="1" s="1"/>
  <c r="M44" i="7"/>
  <c r="M127" i="7"/>
  <c r="M6" i="7"/>
  <c r="M90" i="7"/>
  <c r="L99" i="7"/>
  <c r="M93" i="7"/>
  <c r="M28" i="7"/>
  <c r="M77" i="7"/>
  <c r="M81" i="7"/>
  <c r="M121" i="7"/>
  <c r="DD41" i="1"/>
  <c r="M85" i="7"/>
  <c r="L69" i="7"/>
  <c r="A103" i="1"/>
  <c r="K105" i="1"/>
  <c r="O105" i="1" s="1"/>
  <c r="G105" i="1" s="1"/>
  <c r="F104" i="1" s="1"/>
  <c r="F105" i="1" s="1"/>
  <c r="I104" i="1" s="1"/>
  <c r="G106" i="1" s="1"/>
  <c r="G104" i="1" s="1"/>
  <c r="F106" i="1" s="1"/>
  <c r="I105" i="1" s="1"/>
  <c r="I106" i="1" s="1"/>
  <c r="G14" i="4"/>
  <c r="K154" i="1"/>
  <c r="O154" i="1" s="1"/>
  <c r="G154" i="1" s="1"/>
  <c r="F153" i="1" s="1"/>
  <c r="F154" i="1" s="1"/>
  <c r="I153" i="1" s="1"/>
  <c r="G155" i="1" s="1"/>
  <c r="G153" i="1" s="1"/>
  <c r="F155" i="1" s="1"/>
  <c r="I154" i="1" s="1"/>
  <c r="I155" i="1" s="1"/>
  <c r="K111" i="1"/>
  <c r="O111" i="1" s="1"/>
  <c r="G111" i="1" s="1"/>
  <c r="F110" i="1" s="1"/>
  <c r="F111" i="1" s="1"/>
  <c r="I110" i="1" s="1"/>
  <c r="G112" i="1" s="1"/>
  <c r="G110" i="1" s="1"/>
  <c r="F112" i="1" s="1"/>
  <c r="I111" i="1" s="1"/>
  <c r="I112" i="1" s="1"/>
  <c r="B34" i="1"/>
  <c r="G15" i="4"/>
  <c r="K143" i="1"/>
  <c r="K167" i="1"/>
  <c r="K148" i="1"/>
  <c r="O148" i="1" s="1"/>
  <c r="G148" i="1" s="1"/>
  <c r="F147" i="1" s="1"/>
  <c r="F148" i="1" s="1"/>
  <c r="I147" i="1" s="1"/>
  <c r="G149" i="1" s="1"/>
  <c r="G147" i="1" s="1"/>
  <c r="F149" i="1" s="1"/>
  <c r="I148" i="1" s="1"/>
  <c r="I149" i="1" s="1"/>
  <c r="B140" i="1"/>
  <c r="K172" i="1"/>
  <c r="O172" i="1" s="1"/>
  <c r="G172" i="1" s="1"/>
  <c r="F171" i="1" s="1"/>
  <c r="F172" i="1" s="1"/>
  <c r="I171" i="1" s="1"/>
  <c r="G173" i="1" s="1"/>
  <c r="G171" i="1" s="1"/>
  <c r="F173" i="1" s="1"/>
  <c r="I172" i="1" s="1"/>
  <c r="I173" i="1" s="1"/>
  <c r="DC41" i="1"/>
  <c r="G11" i="4"/>
  <c r="K124" i="1"/>
  <c r="T98" i="1"/>
  <c r="A40" i="1"/>
  <c r="G5" i="4"/>
  <c r="G10" i="4"/>
  <c r="G22" i="4"/>
  <c r="G13" i="4"/>
  <c r="AH4" i="8"/>
  <c r="M1" i="7"/>
  <c r="X5" i="8"/>
  <c r="M5" i="8"/>
  <c r="G20" i="4"/>
  <c r="G7" i="4"/>
  <c r="AH5" i="8"/>
  <c r="B49" i="1"/>
  <c r="CR41" i="1"/>
  <c r="AH2" i="8"/>
  <c r="G8" i="4"/>
  <c r="G6" i="4"/>
  <c r="G12" i="4"/>
  <c r="B55" i="1"/>
  <c r="G4" i="4"/>
  <c r="G9" i="4"/>
  <c r="F135" i="1"/>
  <c r="I134" i="1" s="1"/>
  <c r="G136" i="1" s="1"/>
  <c r="G134" i="1" s="1"/>
  <c r="F136" i="1" s="1"/>
  <c r="I135" i="1" s="1"/>
  <c r="I136" i="1" s="1"/>
  <c r="Q23" i="4" l="1"/>
  <c r="Q24" i="4" s="1"/>
  <c r="G23" i="4"/>
  <c r="G24" i="4" s="1"/>
  <c r="AX15" i="1"/>
  <c r="BA15" i="1" s="1"/>
  <c r="AX21" i="1"/>
  <c r="BA21" i="1" s="1"/>
  <c r="AX13" i="1"/>
  <c r="AY13" i="1" s="1"/>
  <c r="AX26" i="1"/>
  <c r="AY26" i="1" s="1"/>
  <c r="AX3" i="1"/>
  <c r="AY3" i="1" s="1"/>
  <c r="AX8" i="1"/>
  <c r="BA8" i="1" s="1"/>
  <c r="AX23" i="1"/>
  <c r="AY23" i="1" s="1"/>
  <c r="AX19" i="1"/>
  <c r="AY19" i="1" s="1"/>
  <c r="AX7" i="1"/>
  <c r="BA7" i="1" s="1"/>
  <c r="AX32" i="1"/>
  <c r="BA32" i="1" s="1"/>
  <c r="AX28" i="1"/>
  <c r="AY28" i="1" s="1"/>
  <c r="AX16" i="1"/>
  <c r="AY16" i="1" s="1"/>
  <c r="CI48" i="1"/>
  <c r="AX27" i="1"/>
  <c r="AZ27" i="1" s="1"/>
  <c r="AX31" i="1"/>
  <c r="AZ31" i="1" s="1"/>
  <c r="AX5" i="1"/>
  <c r="BA5" i="1" s="1"/>
  <c r="AX14" i="1"/>
  <c r="AZ14" i="1" s="1"/>
  <c r="AX18" i="1"/>
  <c r="AY18" i="1" s="1"/>
  <c r="AX30" i="1"/>
  <c r="AY30" i="1" s="1"/>
  <c r="AX34" i="1"/>
  <c r="AY34" i="1" s="1"/>
  <c r="AX20" i="1"/>
  <c r="AY20" i="1" s="1"/>
  <c r="AX25" i="1"/>
  <c r="AZ25" i="1" s="1"/>
  <c r="AX22" i="1"/>
  <c r="BA22" i="1" s="1"/>
  <c r="AX10" i="1"/>
  <c r="BA10" i="1" s="1"/>
  <c r="AX12" i="1"/>
  <c r="AY12" i="1" s="1"/>
  <c r="AX35" i="1"/>
  <c r="BA35" i="1" s="1"/>
  <c r="AX17" i="1"/>
  <c r="AY17" i="1" s="1"/>
  <c r="AX6" i="1"/>
  <c r="AZ6" i="1" s="1"/>
  <c r="AX33" i="1"/>
  <c r="BA33" i="1" s="1"/>
  <c r="AX4" i="1"/>
  <c r="BA4" i="1" s="1"/>
  <c r="AX11" i="1"/>
  <c r="BA11" i="1" s="1"/>
  <c r="AX9" i="1"/>
  <c r="AY9" i="1" s="1"/>
  <c r="AX29" i="1"/>
  <c r="BA29" i="1" s="1"/>
  <c r="AX24" i="1"/>
  <c r="BA24" i="1" s="1"/>
  <c r="G2" i="14"/>
  <c r="E2" i="14"/>
  <c r="D45" i="14"/>
  <c r="D109" i="14"/>
  <c r="D173" i="14"/>
  <c r="D237" i="14"/>
  <c r="D301" i="14"/>
  <c r="D365" i="14"/>
  <c r="D62" i="14"/>
  <c r="D126" i="14"/>
  <c r="D190" i="14"/>
  <c r="D254" i="14"/>
  <c r="D7" i="14"/>
  <c r="E7" i="14" s="1"/>
  <c r="D71" i="14"/>
  <c r="D135" i="14"/>
  <c r="D199" i="14"/>
  <c r="D263" i="14"/>
  <c r="D327" i="14"/>
  <c r="D32" i="14"/>
  <c r="D96" i="14"/>
  <c r="D160" i="14"/>
  <c r="D224" i="14"/>
  <c r="D288" i="14"/>
  <c r="D352" i="14"/>
  <c r="D59" i="14"/>
  <c r="D123" i="14"/>
  <c r="D187" i="14"/>
  <c r="D26" i="14"/>
  <c r="D196" i="14"/>
  <c r="D331" i="14"/>
  <c r="D358" i="14"/>
  <c r="D10" i="14"/>
  <c r="D180" i="14"/>
  <c r="D322" i="14"/>
  <c r="D98" i="14"/>
  <c r="D260" i="14"/>
  <c r="D17" i="14"/>
  <c r="D186" i="14"/>
  <c r="D324" i="14"/>
  <c r="D188" i="14"/>
  <c r="D65" i="14"/>
  <c r="D18" i="14"/>
  <c r="D364" i="14"/>
  <c r="D299" i="14"/>
  <c r="D153" i="14"/>
  <c r="D300" i="14"/>
  <c r="D178" i="14"/>
  <c r="D21" i="14"/>
  <c r="D277" i="14"/>
  <c r="D102" i="14"/>
  <c r="D230" i="14"/>
  <c r="D47" i="14"/>
  <c r="D175" i="14"/>
  <c r="D8" i="14"/>
  <c r="D136" i="14"/>
  <c r="D328" i="14"/>
  <c r="D99" i="14"/>
  <c r="D132" i="14"/>
  <c r="D137" i="14"/>
  <c r="D275" i="14"/>
  <c r="D337" i="14"/>
  <c r="D82" i="14"/>
  <c r="D89" i="14"/>
  <c r="D354" i="14"/>
  <c r="D157" i="14"/>
  <c r="D46" i="14"/>
  <c r="D302" i="14"/>
  <c r="D183" i="14"/>
  <c r="D80" i="14"/>
  <c r="D336" i="14"/>
  <c r="D235" i="14"/>
  <c r="D138" i="14"/>
  <c r="D145" i="14"/>
  <c r="D353" i="14"/>
  <c r="D268" i="14"/>
  <c r="D165" i="14"/>
  <c r="D357" i="14"/>
  <c r="D310" i="14"/>
  <c r="D24" i="14"/>
  <c r="D344" i="14"/>
  <c r="D4" i="14"/>
  <c r="D346" i="14"/>
  <c r="D362" i="14"/>
  <c r="D20" i="14"/>
  <c r="D284" i="14"/>
  <c r="F2" i="14"/>
  <c r="D53" i="14"/>
  <c r="D117" i="14"/>
  <c r="D181" i="14"/>
  <c r="D245" i="14"/>
  <c r="D309" i="14"/>
  <c r="D6" i="14"/>
  <c r="D70" i="14"/>
  <c r="D134" i="14"/>
  <c r="D198" i="14"/>
  <c r="D262" i="14"/>
  <c r="D15" i="14"/>
  <c r="D79" i="14"/>
  <c r="D143" i="14"/>
  <c r="D207" i="14"/>
  <c r="D271" i="14"/>
  <c r="D335" i="14"/>
  <c r="D40" i="14"/>
  <c r="D104" i="14"/>
  <c r="D168" i="14"/>
  <c r="D232" i="14"/>
  <c r="D296" i="14"/>
  <c r="D360" i="14"/>
  <c r="D67" i="14"/>
  <c r="D131" i="14"/>
  <c r="D195" i="14"/>
  <c r="D49" i="14"/>
  <c r="D218" i="14"/>
  <c r="D345" i="14"/>
  <c r="D366" i="14"/>
  <c r="D33" i="14"/>
  <c r="D202" i="14"/>
  <c r="D334" i="14"/>
  <c r="D121" i="14"/>
  <c r="D276" i="14"/>
  <c r="D36" i="14"/>
  <c r="D209" i="14"/>
  <c r="D338" i="14"/>
  <c r="D233" i="14"/>
  <c r="D129" i="14"/>
  <c r="D60" i="14"/>
  <c r="D42" i="14"/>
  <c r="D329" i="14"/>
  <c r="D172" i="14"/>
  <c r="D316" i="14"/>
  <c r="D220" i="14"/>
  <c r="D85" i="14"/>
  <c r="D341" i="14"/>
  <c r="D38" i="14"/>
  <c r="D166" i="14"/>
  <c r="D294" i="14"/>
  <c r="D111" i="14"/>
  <c r="D303" i="14"/>
  <c r="D72" i="14"/>
  <c r="D264" i="14"/>
  <c r="D35" i="14"/>
  <c r="D227" i="14"/>
  <c r="D258" i="14"/>
  <c r="D34" i="14"/>
  <c r="D122" i="14"/>
  <c r="D326" i="14"/>
  <c r="D193" i="14"/>
  <c r="D28" i="14"/>
  <c r="D93" i="14"/>
  <c r="D110" i="14"/>
  <c r="D55" i="14"/>
  <c r="D311" i="14"/>
  <c r="D208" i="14"/>
  <c r="D107" i="14"/>
  <c r="D154" i="14"/>
  <c r="D242" i="14"/>
  <c r="D348" i="14"/>
  <c r="D315" i="14"/>
  <c r="D92" i="14"/>
  <c r="D293" i="14"/>
  <c r="D54" i="14"/>
  <c r="D63" i="14"/>
  <c r="D255" i="14"/>
  <c r="D152" i="14"/>
  <c r="D115" i="14"/>
  <c r="D321" i="14"/>
  <c r="D244" i="14"/>
  <c r="D146" i="14"/>
  <c r="D130" i="14"/>
  <c r="D3" i="14"/>
  <c r="D61" i="14"/>
  <c r="D125" i="14"/>
  <c r="D189" i="14"/>
  <c r="D253" i="14"/>
  <c r="D317" i="14"/>
  <c r="D14" i="14"/>
  <c r="D78" i="14"/>
  <c r="D142" i="14"/>
  <c r="D206" i="14"/>
  <c r="D270" i="14"/>
  <c r="D23" i="14"/>
  <c r="D87" i="14"/>
  <c r="D151" i="14"/>
  <c r="D215" i="14"/>
  <c r="D279" i="14"/>
  <c r="D343" i="14"/>
  <c r="D48" i="14"/>
  <c r="D112" i="14"/>
  <c r="D176" i="14"/>
  <c r="D240" i="14"/>
  <c r="D304" i="14"/>
  <c r="D11" i="14"/>
  <c r="D75" i="14"/>
  <c r="D139" i="14"/>
  <c r="D203" i="14"/>
  <c r="D68" i="14"/>
  <c r="D241" i="14"/>
  <c r="D356" i="14"/>
  <c r="D9" i="14"/>
  <c r="D52" i="14"/>
  <c r="D225" i="14"/>
  <c r="D347" i="14"/>
  <c r="D140" i="14"/>
  <c r="D292" i="14"/>
  <c r="D58" i="14"/>
  <c r="D228" i="14"/>
  <c r="D350" i="14"/>
  <c r="D250" i="14"/>
  <c r="D170" i="14"/>
  <c r="D124" i="14"/>
  <c r="D84" i="14"/>
  <c r="D25" i="14"/>
  <c r="D194" i="14"/>
  <c r="D330" i="14"/>
  <c r="D274" i="14"/>
  <c r="D149" i="14"/>
  <c r="D239" i="14"/>
  <c r="D200" i="14"/>
  <c r="D163" i="14"/>
  <c r="D289" i="14"/>
  <c r="D116" i="14"/>
  <c r="D204" i="14"/>
  <c r="D281" i="14"/>
  <c r="D266" i="14"/>
  <c r="D252" i="14"/>
  <c r="D285" i="14"/>
  <c r="D291" i="14"/>
  <c r="D298" i="14"/>
  <c r="D37" i="14"/>
  <c r="D118" i="14"/>
  <c r="D127" i="14"/>
  <c r="D88" i="14"/>
  <c r="D51" i="14"/>
  <c r="D318" i="14"/>
  <c r="D307" i="14"/>
  <c r="D313" i="14"/>
  <c r="D267" i="14"/>
  <c r="D5" i="14"/>
  <c r="D69" i="14"/>
  <c r="D133" i="14"/>
  <c r="D197" i="14"/>
  <c r="D261" i="14"/>
  <c r="D325" i="14"/>
  <c r="D22" i="14"/>
  <c r="D86" i="14"/>
  <c r="D150" i="14"/>
  <c r="D214" i="14"/>
  <c r="D278" i="14"/>
  <c r="D31" i="14"/>
  <c r="D95" i="14"/>
  <c r="D159" i="14"/>
  <c r="D223" i="14"/>
  <c r="D287" i="14"/>
  <c r="D351" i="14"/>
  <c r="D56" i="14"/>
  <c r="D120" i="14"/>
  <c r="D184" i="14"/>
  <c r="D248" i="14"/>
  <c r="D312" i="14"/>
  <c r="D19" i="14"/>
  <c r="D83" i="14"/>
  <c r="D147" i="14"/>
  <c r="D211" i="14"/>
  <c r="D90" i="14"/>
  <c r="D257" i="14"/>
  <c r="D114" i="14"/>
  <c r="D50" i="14"/>
  <c r="D74" i="14"/>
  <c r="D243" i="14"/>
  <c r="D361" i="14"/>
  <c r="D162" i="14"/>
  <c r="D308" i="14"/>
  <c r="D81" i="14"/>
  <c r="D249" i="14"/>
  <c r="D363" i="14"/>
  <c r="D282" i="14"/>
  <c r="D212" i="14"/>
  <c r="D169" i="14"/>
  <c r="D106" i="14"/>
  <c r="D44" i="14"/>
  <c r="D217" i="14"/>
  <c r="D342" i="14"/>
  <c r="D306" i="14"/>
  <c r="D213" i="14"/>
  <c r="D283" i="14"/>
  <c r="D221" i="14"/>
  <c r="D349" i="14"/>
  <c r="D238" i="14"/>
  <c r="D119" i="14"/>
  <c r="D16" i="14"/>
  <c r="D272" i="14"/>
  <c r="D171" i="14"/>
  <c r="D290" i="14"/>
  <c r="D226" i="14"/>
  <c r="D105" i="14"/>
  <c r="D108" i="14"/>
  <c r="D101" i="14"/>
  <c r="D246" i="14"/>
  <c r="D319" i="14"/>
  <c r="D280" i="14"/>
  <c r="D179" i="14"/>
  <c r="D161" i="14"/>
  <c r="D164" i="14"/>
  <c r="D339" i="14"/>
  <c r="D156" i="14"/>
  <c r="D13" i="14"/>
  <c r="D77" i="14"/>
  <c r="D141" i="14"/>
  <c r="D205" i="14"/>
  <c r="D269" i="14"/>
  <c r="D333" i="14"/>
  <c r="D30" i="14"/>
  <c r="D94" i="14"/>
  <c r="D158" i="14"/>
  <c r="D222" i="14"/>
  <c r="D286" i="14"/>
  <c r="D39" i="14"/>
  <c r="D103" i="14"/>
  <c r="D167" i="14"/>
  <c r="D231" i="14"/>
  <c r="D295" i="14"/>
  <c r="D359" i="14"/>
  <c r="D64" i="14"/>
  <c r="D128" i="14"/>
  <c r="D192" i="14"/>
  <c r="D256" i="14"/>
  <c r="D320" i="14"/>
  <c r="D27" i="14"/>
  <c r="D91" i="14"/>
  <c r="D155" i="14"/>
  <c r="D219" i="14"/>
  <c r="D113" i="14"/>
  <c r="D273" i="14"/>
  <c r="D201" i="14"/>
  <c r="D73" i="14"/>
  <c r="D97" i="14"/>
  <c r="D259" i="14"/>
  <c r="D12" i="14"/>
  <c r="D185" i="14"/>
  <c r="D323" i="14"/>
  <c r="D100" i="14"/>
  <c r="D265" i="14"/>
  <c r="D41" i="14"/>
  <c r="D314" i="14"/>
  <c r="D251" i="14"/>
  <c r="D210" i="14"/>
  <c r="D148" i="14"/>
  <c r="D66" i="14"/>
  <c r="D236" i="14"/>
  <c r="D355" i="14"/>
  <c r="D332" i="14"/>
  <c r="D29" i="14"/>
  <c r="D174" i="14"/>
  <c r="D247" i="14"/>
  <c r="D144" i="14"/>
  <c r="D43" i="14"/>
  <c r="D305" i="14"/>
  <c r="D57" i="14"/>
  <c r="D297" i="14"/>
  <c r="D234" i="14"/>
  <c r="D229" i="14"/>
  <c r="D182" i="14"/>
  <c r="D191" i="14"/>
  <c r="D216" i="14"/>
  <c r="D177" i="14"/>
  <c r="D76" i="14"/>
  <c r="D340" i="14"/>
  <c r="B42" i="1"/>
  <c r="B41" i="1"/>
  <c r="CF41" i="1"/>
  <c r="E96" i="1"/>
  <c r="B43" i="1"/>
  <c r="CF46" i="1"/>
  <c r="B44" i="1"/>
  <c r="AY15" i="1"/>
  <c r="AY2" i="1"/>
  <c r="AZ2" i="1"/>
  <c r="E34" i="10"/>
  <c r="E12" i="10"/>
  <c r="E14" i="10"/>
  <c r="E18" i="10"/>
  <c r="E22" i="10"/>
  <c r="E40" i="10"/>
  <c r="E24" i="10"/>
  <c r="E29" i="10"/>
  <c r="E28" i="10"/>
  <c r="E36" i="10"/>
  <c r="E11" i="10"/>
  <c r="E27" i="10"/>
  <c r="E16" i="10"/>
  <c r="E10" i="10"/>
  <c r="E20" i="10"/>
  <c r="E13" i="10"/>
  <c r="E41" i="10"/>
  <c r="E39" i="10"/>
  <c r="E51" i="10"/>
  <c r="E1" i="10"/>
  <c r="H3" i="10" s="1"/>
  <c r="T64" i="1" s="1"/>
  <c r="E9" i="10"/>
  <c r="E49" i="10"/>
  <c r="E2" i="10"/>
  <c r="E46" i="10"/>
  <c r="E31" i="10"/>
  <c r="E26" i="10"/>
  <c r="P10" i="1"/>
  <c r="B5" i="8"/>
  <c r="AH1" i="8"/>
  <c r="B6" i="8"/>
  <c r="AH3" i="8"/>
  <c r="B7" i="8"/>
  <c r="O130" i="1"/>
  <c r="Q127" i="1" s="1"/>
  <c r="O149" i="1"/>
  <c r="Q146" i="1" s="1"/>
  <c r="O112" i="1"/>
  <c r="Q109" i="1" s="1"/>
  <c r="O161" i="1"/>
  <c r="Q158" i="1" s="1"/>
  <c r="O124" i="1"/>
  <c r="Q121" i="1" s="1"/>
  <c r="O136" i="1"/>
  <c r="Q133" i="1" s="1"/>
  <c r="O173" i="1"/>
  <c r="Q170" i="1" s="1"/>
  <c r="O155" i="1"/>
  <c r="Q152" i="1" s="1"/>
  <c r="O167" i="1"/>
  <c r="Q164" i="1" s="1"/>
  <c r="O106" i="1"/>
  <c r="Q103" i="1" s="1"/>
  <c r="O118" i="1"/>
  <c r="Q115" i="1" s="1"/>
  <c r="O143" i="1"/>
  <c r="Q140" i="1" s="1"/>
  <c r="Q25" i="4" l="1"/>
  <c r="AK8" i="1" s="1"/>
  <c r="B2" i="10" s="1"/>
  <c r="G25" i="4"/>
  <c r="K32" i="4" s="1"/>
  <c r="S2" i="14"/>
  <c r="BA20" i="1"/>
  <c r="AZ15" i="1"/>
  <c r="AZ20" i="1"/>
  <c r="AZ3" i="1"/>
  <c r="BA3" i="1"/>
  <c r="AZ33" i="1"/>
  <c r="AY33" i="1"/>
  <c r="BA16" i="1"/>
  <c r="BA26" i="1"/>
  <c r="AZ16" i="1"/>
  <c r="AZ26" i="1"/>
  <c r="BA27" i="1"/>
  <c r="AZ4" i="1"/>
  <c r="AY4" i="1"/>
  <c r="AY8" i="1"/>
  <c r="AZ21" i="1"/>
  <c r="AZ8" i="1"/>
  <c r="AZ28" i="1"/>
  <c r="AZ18" i="1"/>
  <c r="BA17" i="1"/>
  <c r="BA28" i="1"/>
  <c r="BA30" i="1"/>
  <c r="AZ30" i="1"/>
  <c r="BA13" i="1"/>
  <c r="AZ17" i="1"/>
  <c r="AZ13" i="1"/>
  <c r="AY27" i="1"/>
  <c r="AY25" i="1"/>
  <c r="AZ10" i="1"/>
  <c r="AY31" i="1"/>
  <c r="AY22" i="1"/>
  <c r="AZ22" i="1"/>
  <c r="AZ29" i="1"/>
  <c r="AY29" i="1"/>
  <c r="AZ7" i="1"/>
  <c r="BA12" i="1"/>
  <c r="AY7" i="1"/>
  <c r="AZ12" i="1"/>
  <c r="AY14" i="1"/>
  <c r="AZ19" i="1"/>
  <c r="BA25" i="1"/>
  <c r="BA14" i="1"/>
  <c r="BA19" i="1"/>
  <c r="AY21" i="1"/>
  <c r="BA18" i="1"/>
  <c r="AY10" i="1"/>
  <c r="BA9" i="1"/>
  <c r="AY24" i="1"/>
  <c r="AZ32" i="1"/>
  <c r="AZ9" i="1"/>
  <c r="AZ5" i="1"/>
  <c r="AZ24" i="1"/>
  <c r="AZ11" i="1"/>
  <c r="AY32" i="1"/>
  <c r="BA23" i="1"/>
  <c r="AY5" i="1"/>
  <c r="AY11" i="1"/>
  <c r="AZ35" i="1"/>
  <c r="AZ23" i="1"/>
  <c r="AY35" i="1"/>
  <c r="BA31" i="1"/>
  <c r="BA34" i="1"/>
  <c r="AZ34" i="1"/>
  <c r="AY6" i="1"/>
  <c r="BA6" i="1"/>
  <c r="G297" i="14"/>
  <c r="E297" i="14"/>
  <c r="F297" i="14"/>
  <c r="F73" i="14"/>
  <c r="E73" i="14"/>
  <c r="G73" i="14"/>
  <c r="E333" i="14"/>
  <c r="F333" i="14"/>
  <c r="G333" i="14"/>
  <c r="E349" i="14"/>
  <c r="F349" i="14"/>
  <c r="G349" i="14"/>
  <c r="G69" i="14"/>
  <c r="F69" i="14"/>
  <c r="E69" i="14"/>
  <c r="F281" i="14"/>
  <c r="E281" i="14"/>
  <c r="G281" i="14"/>
  <c r="E304" i="14"/>
  <c r="F304" i="14"/>
  <c r="G304" i="14"/>
  <c r="E55" i="14"/>
  <c r="G55" i="14"/>
  <c r="F55" i="14"/>
  <c r="F121" i="14"/>
  <c r="G121" i="14"/>
  <c r="E121" i="14"/>
  <c r="G53" i="14"/>
  <c r="F53" i="14"/>
  <c r="E53" i="14"/>
  <c r="E136" i="14"/>
  <c r="F136" i="14"/>
  <c r="G136" i="14"/>
  <c r="E324" i="14"/>
  <c r="F324" i="14"/>
  <c r="G324" i="14"/>
  <c r="G234" i="14"/>
  <c r="E234" i="14"/>
  <c r="F234" i="14"/>
  <c r="G29" i="14"/>
  <c r="F29" i="14"/>
  <c r="E29" i="14"/>
  <c r="E314" i="14"/>
  <c r="F314" i="14"/>
  <c r="G314" i="14"/>
  <c r="F97" i="14"/>
  <c r="E97" i="14"/>
  <c r="G97" i="14"/>
  <c r="E27" i="14"/>
  <c r="F27" i="14"/>
  <c r="G27" i="14"/>
  <c r="E231" i="14"/>
  <c r="F231" i="14"/>
  <c r="G231" i="14"/>
  <c r="G30" i="14"/>
  <c r="E30" i="14"/>
  <c r="F30" i="14"/>
  <c r="E339" i="14"/>
  <c r="F339" i="14"/>
  <c r="G339" i="14"/>
  <c r="F108" i="14"/>
  <c r="G108" i="14"/>
  <c r="E108" i="14"/>
  <c r="F238" i="14"/>
  <c r="E238" i="14"/>
  <c r="G238" i="14"/>
  <c r="G44" i="14"/>
  <c r="E44" i="14"/>
  <c r="F44" i="14"/>
  <c r="G308" i="14"/>
  <c r="E308" i="14"/>
  <c r="F308" i="14"/>
  <c r="F90" i="14"/>
  <c r="G90" i="14"/>
  <c r="E90" i="14"/>
  <c r="G120" i="14"/>
  <c r="E120" i="14"/>
  <c r="F120" i="14"/>
  <c r="G278" i="14"/>
  <c r="E278" i="14"/>
  <c r="F278" i="14"/>
  <c r="F133" i="14"/>
  <c r="E133" i="14"/>
  <c r="G133" i="14"/>
  <c r="F88" i="14"/>
  <c r="G88" i="14"/>
  <c r="E88" i="14"/>
  <c r="E266" i="14"/>
  <c r="F266" i="14"/>
  <c r="G266" i="14"/>
  <c r="G149" i="14"/>
  <c r="F149" i="14"/>
  <c r="E149" i="14"/>
  <c r="F250" i="14"/>
  <c r="G250" i="14"/>
  <c r="E250" i="14"/>
  <c r="G52" i="14"/>
  <c r="E52" i="14"/>
  <c r="F52" i="14"/>
  <c r="G11" i="14"/>
  <c r="E11" i="14"/>
  <c r="F11" i="14"/>
  <c r="G215" i="14"/>
  <c r="E215" i="14"/>
  <c r="F215" i="14"/>
  <c r="G14" i="14"/>
  <c r="E14" i="14"/>
  <c r="F14" i="14"/>
  <c r="G146" i="14"/>
  <c r="E146" i="14"/>
  <c r="F146" i="14"/>
  <c r="G293" i="14"/>
  <c r="F293" i="14"/>
  <c r="E293" i="14"/>
  <c r="E311" i="14"/>
  <c r="F311" i="14"/>
  <c r="G311" i="14"/>
  <c r="G34" i="14"/>
  <c r="F34" i="14"/>
  <c r="E34" i="14"/>
  <c r="G294" i="14"/>
  <c r="E294" i="14"/>
  <c r="F294" i="14"/>
  <c r="G329" i="14"/>
  <c r="E329" i="14"/>
  <c r="F329" i="14"/>
  <c r="F276" i="14"/>
  <c r="G276" i="14"/>
  <c r="E276" i="14"/>
  <c r="E49" i="14"/>
  <c r="F49" i="14"/>
  <c r="G49" i="14"/>
  <c r="F104" i="14"/>
  <c r="G104" i="14"/>
  <c r="E104" i="14"/>
  <c r="G262" i="14"/>
  <c r="E262" i="14"/>
  <c r="F262" i="14"/>
  <c r="F117" i="14"/>
  <c r="G117" i="14"/>
  <c r="E117" i="14"/>
  <c r="F344" i="14"/>
  <c r="E344" i="14"/>
  <c r="G344" i="14"/>
  <c r="E138" i="14"/>
  <c r="F138" i="14"/>
  <c r="G138" i="14"/>
  <c r="E354" i="14"/>
  <c r="F354" i="14"/>
  <c r="G354" i="14"/>
  <c r="G328" i="14"/>
  <c r="E328" i="14"/>
  <c r="F328" i="14"/>
  <c r="G21" i="14"/>
  <c r="F21" i="14"/>
  <c r="E21" i="14"/>
  <c r="E188" i="14"/>
  <c r="G188" i="14"/>
  <c r="F188" i="14"/>
  <c r="F10" i="14"/>
  <c r="G10" i="14"/>
  <c r="E10" i="14"/>
  <c r="G352" i="14"/>
  <c r="F352" i="14"/>
  <c r="E352" i="14"/>
  <c r="E199" i="14"/>
  <c r="F199" i="14"/>
  <c r="G199" i="14"/>
  <c r="E365" i="14"/>
  <c r="F365" i="14"/>
  <c r="G365" i="14"/>
  <c r="G162" i="14"/>
  <c r="E162" i="14"/>
  <c r="F162" i="14"/>
  <c r="F178" i="14"/>
  <c r="E178" i="14"/>
  <c r="G178" i="14"/>
  <c r="G76" i="14"/>
  <c r="F76" i="14"/>
  <c r="E76" i="14"/>
  <c r="E57" i="14"/>
  <c r="F57" i="14"/>
  <c r="G57" i="14"/>
  <c r="F355" i="14"/>
  <c r="E355" i="14"/>
  <c r="G355" i="14"/>
  <c r="E265" i="14"/>
  <c r="F265" i="14"/>
  <c r="G265" i="14"/>
  <c r="G201" i="14"/>
  <c r="E201" i="14"/>
  <c r="F201" i="14"/>
  <c r="G256" i="14"/>
  <c r="E256" i="14"/>
  <c r="F256" i="14"/>
  <c r="E103" i="14"/>
  <c r="F103" i="14"/>
  <c r="G103" i="14"/>
  <c r="F269" i="14"/>
  <c r="G269" i="14"/>
  <c r="E269" i="14"/>
  <c r="E161" i="14"/>
  <c r="G161" i="14"/>
  <c r="F161" i="14"/>
  <c r="G226" i="14"/>
  <c r="E226" i="14"/>
  <c r="F226" i="14"/>
  <c r="G221" i="14"/>
  <c r="F221" i="14"/>
  <c r="E221" i="14"/>
  <c r="G169" i="14"/>
  <c r="E169" i="14"/>
  <c r="F169" i="14"/>
  <c r="E361" i="14"/>
  <c r="G361" i="14"/>
  <c r="F361" i="14"/>
  <c r="E147" i="14"/>
  <c r="F147" i="14"/>
  <c r="G147" i="14"/>
  <c r="E351" i="14"/>
  <c r="F351" i="14"/>
  <c r="G351" i="14"/>
  <c r="E150" i="14"/>
  <c r="G150" i="14"/>
  <c r="F150" i="14"/>
  <c r="G5" i="14"/>
  <c r="F5" i="14"/>
  <c r="E5" i="14"/>
  <c r="F118" i="14"/>
  <c r="E118" i="14"/>
  <c r="G118" i="14"/>
  <c r="F204" i="14"/>
  <c r="G204" i="14"/>
  <c r="E204" i="14"/>
  <c r="E330" i="14"/>
  <c r="F330" i="14"/>
  <c r="G330" i="14"/>
  <c r="F228" i="14"/>
  <c r="G228" i="14"/>
  <c r="E228" i="14"/>
  <c r="G356" i="14"/>
  <c r="E356" i="14"/>
  <c r="F356" i="14"/>
  <c r="F240" i="14"/>
  <c r="G240" i="14"/>
  <c r="E240" i="14"/>
  <c r="F87" i="14"/>
  <c r="G87" i="14"/>
  <c r="E87" i="14"/>
  <c r="F253" i="14"/>
  <c r="G253" i="14"/>
  <c r="E253" i="14"/>
  <c r="F321" i="14"/>
  <c r="G321" i="14"/>
  <c r="E321" i="14"/>
  <c r="G315" i="14"/>
  <c r="E315" i="14"/>
  <c r="F315" i="14"/>
  <c r="E110" i="14"/>
  <c r="F110" i="14"/>
  <c r="G110" i="14"/>
  <c r="E227" i="14"/>
  <c r="F227" i="14"/>
  <c r="G227" i="14"/>
  <c r="E38" i="14"/>
  <c r="F38" i="14"/>
  <c r="G38" i="14"/>
  <c r="G60" i="14"/>
  <c r="E60" i="14"/>
  <c r="F60" i="14"/>
  <c r="F334" i="14"/>
  <c r="E334" i="14"/>
  <c r="G334" i="14"/>
  <c r="G131" i="14"/>
  <c r="E131" i="14"/>
  <c r="F131" i="14"/>
  <c r="G335" i="14"/>
  <c r="E335" i="14"/>
  <c r="F335" i="14"/>
  <c r="F134" i="14"/>
  <c r="E134" i="14"/>
  <c r="G134" i="14"/>
  <c r="F310" i="14"/>
  <c r="G310" i="14"/>
  <c r="E310" i="14"/>
  <c r="F336" i="14"/>
  <c r="E336" i="14"/>
  <c r="G336" i="14"/>
  <c r="G82" i="14"/>
  <c r="E82" i="14"/>
  <c r="F82" i="14"/>
  <c r="F8" i="14"/>
  <c r="G8" i="14"/>
  <c r="E8" i="14"/>
  <c r="F300" i="14"/>
  <c r="G300" i="14"/>
  <c r="E300" i="14"/>
  <c r="G186" i="14"/>
  <c r="E186" i="14"/>
  <c r="F186" i="14"/>
  <c r="E331" i="14"/>
  <c r="F331" i="14"/>
  <c r="G331" i="14"/>
  <c r="F224" i="14"/>
  <c r="G224" i="14"/>
  <c r="E224" i="14"/>
  <c r="F71" i="14"/>
  <c r="G71" i="14"/>
  <c r="E71" i="14"/>
  <c r="E237" i="14"/>
  <c r="F237" i="14"/>
  <c r="G237" i="14"/>
  <c r="E211" i="14"/>
  <c r="F211" i="14"/>
  <c r="G211" i="14"/>
  <c r="F244" i="14"/>
  <c r="G244" i="14"/>
  <c r="E244" i="14"/>
  <c r="G301" i="14"/>
  <c r="E301" i="14"/>
  <c r="F301" i="14"/>
  <c r="F177" i="14"/>
  <c r="E177" i="14"/>
  <c r="G177" i="14"/>
  <c r="G305" i="14"/>
  <c r="E305" i="14"/>
  <c r="F305" i="14"/>
  <c r="F236" i="14"/>
  <c r="G236" i="14"/>
  <c r="E236" i="14"/>
  <c r="G100" i="14"/>
  <c r="F100" i="14"/>
  <c r="E100" i="14"/>
  <c r="G273" i="14"/>
  <c r="F273" i="14"/>
  <c r="E273" i="14"/>
  <c r="F192" i="14"/>
  <c r="G192" i="14"/>
  <c r="E192" i="14"/>
  <c r="E39" i="14"/>
  <c r="F39" i="14"/>
  <c r="G39" i="14"/>
  <c r="G205" i="14"/>
  <c r="F205" i="14"/>
  <c r="E205" i="14"/>
  <c r="E179" i="14"/>
  <c r="F179" i="14"/>
  <c r="G179" i="14"/>
  <c r="E290" i="14"/>
  <c r="F290" i="14"/>
  <c r="G290" i="14"/>
  <c r="F283" i="14"/>
  <c r="E283" i="14"/>
  <c r="G283" i="14"/>
  <c r="G212" i="14"/>
  <c r="F212" i="14"/>
  <c r="E212" i="14"/>
  <c r="G243" i="14"/>
  <c r="F243" i="14"/>
  <c r="E243" i="14"/>
  <c r="G83" i="14"/>
  <c r="E83" i="14"/>
  <c r="F83" i="14"/>
  <c r="G287" i="14"/>
  <c r="F287" i="14"/>
  <c r="E287" i="14"/>
  <c r="F86" i="14"/>
  <c r="E86" i="14"/>
  <c r="G86" i="14"/>
  <c r="G267" i="14"/>
  <c r="E267" i="14"/>
  <c r="F267" i="14"/>
  <c r="F37" i="14"/>
  <c r="E37" i="14"/>
  <c r="G37" i="14"/>
  <c r="F116" i="14"/>
  <c r="E116" i="14"/>
  <c r="G116" i="14"/>
  <c r="F194" i="14"/>
  <c r="G194" i="14"/>
  <c r="E194" i="14"/>
  <c r="F58" i="14"/>
  <c r="E58" i="14"/>
  <c r="G58" i="14"/>
  <c r="E241" i="14"/>
  <c r="F241" i="14"/>
  <c r="G241" i="14"/>
  <c r="G176" i="14"/>
  <c r="E176" i="14"/>
  <c r="F176" i="14"/>
  <c r="G23" i="14"/>
  <c r="F23" i="14"/>
  <c r="E23" i="14"/>
  <c r="F189" i="14"/>
  <c r="E189" i="14"/>
  <c r="G189" i="14"/>
  <c r="F115" i="14"/>
  <c r="E115" i="14"/>
  <c r="G115" i="14"/>
  <c r="F348" i="14"/>
  <c r="G348" i="14"/>
  <c r="E348" i="14"/>
  <c r="E93" i="14"/>
  <c r="G93" i="14"/>
  <c r="F93" i="14"/>
  <c r="E35" i="14"/>
  <c r="F35" i="14"/>
  <c r="G35" i="14"/>
  <c r="E341" i="14"/>
  <c r="G341" i="14"/>
  <c r="F341" i="14"/>
  <c r="G129" i="14"/>
  <c r="F129" i="14"/>
  <c r="E129" i="14"/>
  <c r="G202" i="14"/>
  <c r="E202" i="14"/>
  <c r="F202" i="14"/>
  <c r="E67" i="14"/>
  <c r="F67" i="14"/>
  <c r="G67" i="14"/>
  <c r="E271" i="14"/>
  <c r="F271" i="14"/>
  <c r="G271" i="14"/>
  <c r="E70" i="14"/>
  <c r="F70" i="14"/>
  <c r="G70" i="14"/>
  <c r="E284" i="14"/>
  <c r="F284" i="14"/>
  <c r="G284" i="14"/>
  <c r="F357" i="14"/>
  <c r="G357" i="14"/>
  <c r="E357" i="14"/>
  <c r="E80" i="14"/>
  <c r="F80" i="14"/>
  <c r="G80" i="14"/>
  <c r="G337" i="14"/>
  <c r="E337" i="14"/>
  <c r="F337" i="14"/>
  <c r="E175" i="14"/>
  <c r="F175" i="14"/>
  <c r="G175" i="14"/>
  <c r="E153" i="14"/>
  <c r="G153" i="14"/>
  <c r="F153" i="14"/>
  <c r="F17" i="14"/>
  <c r="G17" i="14"/>
  <c r="E17" i="14"/>
  <c r="F196" i="14"/>
  <c r="E196" i="14"/>
  <c r="G196" i="14"/>
  <c r="F160" i="14"/>
  <c r="E160" i="14"/>
  <c r="G160" i="14"/>
  <c r="F7" i="14"/>
  <c r="G7" i="14"/>
  <c r="F173" i="14"/>
  <c r="E173" i="14"/>
  <c r="G173" i="14"/>
  <c r="E332" i="14"/>
  <c r="G332" i="14"/>
  <c r="F332" i="14"/>
  <c r="E320" i="14"/>
  <c r="G320" i="14"/>
  <c r="F320" i="14"/>
  <c r="G105" i="14"/>
  <c r="E105" i="14"/>
  <c r="F105" i="14"/>
  <c r="E214" i="14"/>
  <c r="F214" i="14"/>
  <c r="G214" i="14"/>
  <c r="E274" i="14"/>
  <c r="F274" i="14"/>
  <c r="G274" i="14"/>
  <c r="E9" i="14"/>
  <c r="F9" i="14"/>
  <c r="G9" i="14"/>
  <c r="F92" i="14"/>
  <c r="G92" i="14"/>
  <c r="E92" i="14"/>
  <c r="F42" i="14"/>
  <c r="G42" i="14"/>
  <c r="E42" i="14"/>
  <c r="F198" i="14"/>
  <c r="E198" i="14"/>
  <c r="G198" i="14"/>
  <c r="G89" i="14"/>
  <c r="E89" i="14"/>
  <c r="F89" i="14"/>
  <c r="G135" i="14"/>
  <c r="E135" i="14"/>
  <c r="F135" i="14"/>
  <c r="G216" i="14"/>
  <c r="F216" i="14"/>
  <c r="E216" i="14"/>
  <c r="F43" i="14"/>
  <c r="G43" i="14"/>
  <c r="E43" i="14"/>
  <c r="F66" i="14"/>
  <c r="E66" i="14"/>
  <c r="G66" i="14"/>
  <c r="G323" i="14"/>
  <c r="F323" i="14"/>
  <c r="E323" i="14"/>
  <c r="E113" i="14"/>
  <c r="G113" i="14"/>
  <c r="F113" i="14"/>
  <c r="E128" i="14"/>
  <c r="F128" i="14"/>
  <c r="G128" i="14"/>
  <c r="G286" i="14"/>
  <c r="F286" i="14"/>
  <c r="E286" i="14"/>
  <c r="E141" i="14"/>
  <c r="F141" i="14"/>
  <c r="G141" i="14"/>
  <c r="G280" i="14"/>
  <c r="F280" i="14"/>
  <c r="E280" i="14"/>
  <c r="E171" i="14"/>
  <c r="F171" i="14"/>
  <c r="G171" i="14"/>
  <c r="G213" i="14"/>
  <c r="F213" i="14"/>
  <c r="E213" i="14"/>
  <c r="E282" i="14"/>
  <c r="F282" i="14"/>
  <c r="G282" i="14"/>
  <c r="G74" i="14"/>
  <c r="E74" i="14"/>
  <c r="F74" i="14"/>
  <c r="E19" i="14"/>
  <c r="F19" i="14"/>
  <c r="G19" i="14"/>
  <c r="E223" i="14"/>
  <c r="G223" i="14"/>
  <c r="F223" i="14"/>
  <c r="E22" i="14"/>
  <c r="F22" i="14"/>
  <c r="G22" i="14"/>
  <c r="G313" i="14"/>
  <c r="F313" i="14"/>
  <c r="E313" i="14"/>
  <c r="E298" i="14"/>
  <c r="F298" i="14"/>
  <c r="G298" i="14"/>
  <c r="G289" i="14"/>
  <c r="E289" i="14"/>
  <c r="F289" i="14"/>
  <c r="E25" i="14"/>
  <c r="F25" i="14"/>
  <c r="G25" i="14"/>
  <c r="F292" i="14"/>
  <c r="G292" i="14"/>
  <c r="E292" i="14"/>
  <c r="F68" i="14"/>
  <c r="E68" i="14"/>
  <c r="G68" i="14"/>
  <c r="F112" i="14"/>
  <c r="G112" i="14"/>
  <c r="E112" i="14"/>
  <c r="G270" i="14"/>
  <c r="E270" i="14"/>
  <c r="F270" i="14"/>
  <c r="G125" i="14"/>
  <c r="F125" i="14"/>
  <c r="E125" i="14"/>
  <c r="F152" i="14"/>
  <c r="G152" i="14"/>
  <c r="E152" i="14"/>
  <c r="E242" i="14"/>
  <c r="F242" i="14"/>
  <c r="G242" i="14"/>
  <c r="F28" i="14"/>
  <c r="G28" i="14"/>
  <c r="E28" i="14"/>
  <c r="G264" i="14"/>
  <c r="F264" i="14"/>
  <c r="E264" i="14"/>
  <c r="G85" i="14"/>
  <c r="F85" i="14"/>
  <c r="E85" i="14"/>
  <c r="F233" i="14"/>
  <c r="E233" i="14"/>
  <c r="G233" i="14"/>
  <c r="F33" i="14"/>
  <c r="G33" i="14"/>
  <c r="E33" i="14"/>
  <c r="E360" i="14"/>
  <c r="G360" i="14"/>
  <c r="F360" i="14"/>
  <c r="F207" i="14"/>
  <c r="G207" i="14"/>
  <c r="E207" i="14"/>
  <c r="F6" i="14"/>
  <c r="G6" i="14"/>
  <c r="E6" i="14"/>
  <c r="E20" i="14"/>
  <c r="F20" i="14"/>
  <c r="G20" i="14"/>
  <c r="G165" i="14"/>
  <c r="F165" i="14"/>
  <c r="E165" i="14"/>
  <c r="E183" i="14"/>
  <c r="F183" i="14"/>
  <c r="G183" i="14"/>
  <c r="E275" i="14"/>
  <c r="F275" i="14"/>
  <c r="G275" i="14"/>
  <c r="E47" i="14"/>
  <c r="F47" i="14"/>
  <c r="G47" i="14"/>
  <c r="F299" i="14"/>
  <c r="G299" i="14"/>
  <c r="E299" i="14"/>
  <c r="G260" i="14"/>
  <c r="F260" i="14"/>
  <c r="E260" i="14"/>
  <c r="E26" i="14"/>
  <c r="G26" i="14"/>
  <c r="F26" i="14"/>
  <c r="G96" i="14"/>
  <c r="F96" i="14"/>
  <c r="E96" i="14"/>
  <c r="F254" i="14"/>
  <c r="G254" i="14"/>
  <c r="E254" i="14"/>
  <c r="F109" i="14"/>
  <c r="G109" i="14"/>
  <c r="E109" i="14"/>
  <c r="F340" i="14"/>
  <c r="G340" i="14"/>
  <c r="E340" i="14"/>
  <c r="F167" i="14"/>
  <c r="G167" i="14"/>
  <c r="E167" i="14"/>
  <c r="G106" i="14"/>
  <c r="E106" i="14"/>
  <c r="F106" i="14"/>
  <c r="E127" i="14"/>
  <c r="F127" i="14"/>
  <c r="G127" i="14"/>
  <c r="E151" i="14"/>
  <c r="F151" i="14"/>
  <c r="G151" i="14"/>
  <c r="F258" i="14"/>
  <c r="G258" i="14"/>
  <c r="E258" i="14"/>
  <c r="G195" i="14"/>
  <c r="E195" i="14"/>
  <c r="F195" i="14"/>
  <c r="E24" i="14"/>
  <c r="F24" i="14"/>
  <c r="G24" i="14"/>
  <c r="G358" i="14"/>
  <c r="E358" i="14"/>
  <c r="F358" i="14"/>
  <c r="G191" i="14"/>
  <c r="E191" i="14"/>
  <c r="F191" i="14"/>
  <c r="F144" i="14"/>
  <c r="G144" i="14"/>
  <c r="E144" i="14"/>
  <c r="G148" i="14"/>
  <c r="F148" i="14"/>
  <c r="E148" i="14"/>
  <c r="G185" i="14"/>
  <c r="E185" i="14"/>
  <c r="F185" i="14"/>
  <c r="E219" i="14"/>
  <c r="F219" i="14"/>
  <c r="G219" i="14"/>
  <c r="F64" i="14"/>
  <c r="G64" i="14"/>
  <c r="E64" i="14"/>
  <c r="F222" i="14"/>
  <c r="G222" i="14"/>
  <c r="E222" i="14"/>
  <c r="E77" i="14"/>
  <c r="G77" i="14"/>
  <c r="F77" i="14"/>
  <c r="E319" i="14"/>
  <c r="F319" i="14"/>
  <c r="G319" i="14"/>
  <c r="E272" i="14"/>
  <c r="F272" i="14"/>
  <c r="G272" i="14"/>
  <c r="G306" i="14"/>
  <c r="E306" i="14"/>
  <c r="F306" i="14"/>
  <c r="E363" i="14"/>
  <c r="F363" i="14"/>
  <c r="G363" i="14"/>
  <c r="F50" i="14"/>
  <c r="G50" i="14"/>
  <c r="E50" i="14"/>
  <c r="E312" i="14"/>
  <c r="F312" i="14"/>
  <c r="G312" i="14"/>
  <c r="G159" i="14"/>
  <c r="E159" i="14"/>
  <c r="F159" i="14"/>
  <c r="E325" i="14"/>
  <c r="F325" i="14"/>
  <c r="G325" i="14"/>
  <c r="F307" i="14"/>
  <c r="G307" i="14"/>
  <c r="E307" i="14"/>
  <c r="E291" i="14"/>
  <c r="F291" i="14"/>
  <c r="G291" i="14"/>
  <c r="E163" i="14"/>
  <c r="F163" i="14"/>
  <c r="G163" i="14"/>
  <c r="F84" i="14"/>
  <c r="E84" i="14"/>
  <c r="G84" i="14"/>
  <c r="E140" i="14"/>
  <c r="F140" i="14"/>
  <c r="G140" i="14"/>
  <c r="E203" i="14"/>
  <c r="F203" i="14"/>
  <c r="G203" i="14"/>
  <c r="F48" i="14"/>
  <c r="G48" i="14"/>
  <c r="E48" i="14"/>
  <c r="E206" i="14"/>
  <c r="F206" i="14"/>
  <c r="G206" i="14"/>
  <c r="G61" i="14"/>
  <c r="F61" i="14"/>
  <c r="E61" i="14"/>
  <c r="E255" i="14"/>
  <c r="F255" i="14"/>
  <c r="G255" i="14"/>
  <c r="G154" i="14"/>
  <c r="E154" i="14"/>
  <c r="F154" i="14"/>
  <c r="G193" i="14"/>
  <c r="E193" i="14"/>
  <c r="F193" i="14"/>
  <c r="F72" i="14"/>
  <c r="G72" i="14"/>
  <c r="E72" i="14"/>
  <c r="G220" i="14"/>
  <c r="E220" i="14"/>
  <c r="F220" i="14"/>
  <c r="F338" i="14"/>
  <c r="G338" i="14"/>
  <c r="E338" i="14"/>
  <c r="F366" i="14"/>
  <c r="G366" i="14"/>
  <c r="E366" i="14"/>
  <c r="G296" i="14"/>
  <c r="F296" i="14"/>
  <c r="E296" i="14"/>
  <c r="F143" i="14"/>
  <c r="G143" i="14"/>
  <c r="E143" i="14"/>
  <c r="G309" i="14"/>
  <c r="F309" i="14"/>
  <c r="E309" i="14"/>
  <c r="E362" i="14"/>
  <c r="F362" i="14"/>
  <c r="G362" i="14"/>
  <c r="F268" i="14"/>
  <c r="G268" i="14"/>
  <c r="E268" i="14"/>
  <c r="G302" i="14"/>
  <c r="E302" i="14"/>
  <c r="F302" i="14"/>
  <c r="G137" i="14"/>
  <c r="F137" i="14"/>
  <c r="E137" i="14"/>
  <c r="E230" i="14"/>
  <c r="F230" i="14"/>
  <c r="G230" i="14"/>
  <c r="F364" i="14"/>
  <c r="E364" i="14"/>
  <c r="G364" i="14"/>
  <c r="G98" i="14"/>
  <c r="E98" i="14"/>
  <c r="F98" i="14"/>
  <c r="E187" i="14"/>
  <c r="G187" i="14"/>
  <c r="F187" i="14"/>
  <c r="F32" i="14"/>
  <c r="G32" i="14"/>
  <c r="E32" i="14"/>
  <c r="F190" i="14"/>
  <c r="G190" i="14"/>
  <c r="E190" i="14"/>
  <c r="G45" i="14"/>
  <c r="F45" i="14"/>
  <c r="E45" i="14"/>
  <c r="E41" i="14"/>
  <c r="F41" i="14"/>
  <c r="G41" i="14"/>
  <c r="G164" i="14"/>
  <c r="F164" i="14"/>
  <c r="E164" i="14"/>
  <c r="F56" i="14"/>
  <c r="G56" i="14"/>
  <c r="E56" i="14"/>
  <c r="E350" i="14"/>
  <c r="F350" i="14"/>
  <c r="G350" i="14"/>
  <c r="E317" i="14"/>
  <c r="F317" i="14"/>
  <c r="G317" i="14"/>
  <c r="E166" i="14"/>
  <c r="G166" i="14"/>
  <c r="F166" i="14"/>
  <c r="E40" i="14"/>
  <c r="F40" i="14"/>
  <c r="G40" i="14"/>
  <c r="G235" i="14"/>
  <c r="F235" i="14"/>
  <c r="E235" i="14"/>
  <c r="G288" i="14"/>
  <c r="F288" i="14"/>
  <c r="E288" i="14"/>
  <c r="E182" i="14"/>
  <c r="F182" i="14"/>
  <c r="G182" i="14"/>
  <c r="F247" i="14"/>
  <c r="G247" i="14"/>
  <c r="E247" i="14"/>
  <c r="G210" i="14"/>
  <c r="E210" i="14"/>
  <c r="F210" i="14"/>
  <c r="G12" i="14"/>
  <c r="E12" i="14"/>
  <c r="F12" i="14"/>
  <c r="E155" i="14"/>
  <c r="F155" i="14"/>
  <c r="G155" i="14"/>
  <c r="G359" i="14"/>
  <c r="F359" i="14"/>
  <c r="E359" i="14"/>
  <c r="E158" i="14"/>
  <c r="F158" i="14"/>
  <c r="G158" i="14"/>
  <c r="G13" i="14"/>
  <c r="F13" i="14"/>
  <c r="E13" i="14"/>
  <c r="G246" i="14"/>
  <c r="F246" i="14"/>
  <c r="E246" i="14"/>
  <c r="F16" i="14"/>
  <c r="G16" i="14"/>
  <c r="E16" i="14"/>
  <c r="F342" i="14"/>
  <c r="G342" i="14"/>
  <c r="E342" i="14"/>
  <c r="E249" i="14"/>
  <c r="F249" i="14"/>
  <c r="G249" i="14"/>
  <c r="E114" i="14"/>
  <c r="F114" i="14"/>
  <c r="G114" i="14"/>
  <c r="F248" i="14"/>
  <c r="G248" i="14"/>
  <c r="E248" i="14"/>
  <c r="F95" i="14"/>
  <c r="G95" i="14"/>
  <c r="E95" i="14"/>
  <c r="F261" i="14"/>
  <c r="G261" i="14"/>
  <c r="E261" i="14"/>
  <c r="F318" i="14"/>
  <c r="G318" i="14"/>
  <c r="E318" i="14"/>
  <c r="E285" i="14"/>
  <c r="G285" i="14"/>
  <c r="F285" i="14"/>
  <c r="F200" i="14"/>
  <c r="G200" i="14"/>
  <c r="E200" i="14"/>
  <c r="G124" i="14"/>
  <c r="E124" i="14"/>
  <c r="F124" i="14"/>
  <c r="G347" i="14"/>
  <c r="E347" i="14"/>
  <c r="F347" i="14"/>
  <c r="E139" i="14"/>
  <c r="F139" i="14"/>
  <c r="G139" i="14"/>
  <c r="E343" i="14"/>
  <c r="F343" i="14"/>
  <c r="G343" i="14"/>
  <c r="E142" i="14"/>
  <c r="F142" i="14"/>
  <c r="G142" i="14"/>
  <c r="E3" i="14"/>
  <c r="F3" i="14"/>
  <c r="G3" i="14"/>
  <c r="E63" i="14"/>
  <c r="F63" i="14"/>
  <c r="G63" i="14"/>
  <c r="E107" i="14"/>
  <c r="F107" i="14"/>
  <c r="G107" i="14"/>
  <c r="E326" i="14"/>
  <c r="F326" i="14"/>
  <c r="G326" i="14"/>
  <c r="G303" i="14"/>
  <c r="F303" i="14"/>
  <c r="E303" i="14"/>
  <c r="F316" i="14"/>
  <c r="G316" i="14"/>
  <c r="E316" i="14"/>
  <c r="G209" i="14"/>
  <c r="F209" i="14"/>
  <c r="E209" i="14"/>
  <c r="G345" i="14"/>
  <c r="F345" i="14"/>
  <c r="E345" i="14"/>
  <c r="E232" i="14"/>
  <c r="F232" i="14"/>
  <c r="G232" i="14"/>
  <c r="E79" i="14"/>
  <c r="G79" i="14"/>
  <c r="F79" i="14"/>
  <c r="E245" i="14"/>
  <c r="F245" i="14"/>
  <c r="G245" i="14"/>
  <c r="G346" i="14"/>
  <c r="F346" i="14"/>
  <c r="E346" i="14"/>
  <c r="F353" i="14"/>
  <c r="E353" i="14"/>
  <c r="G353" i="14"/>
  <c r="F46" i="14"/>
  <c r="G46" i="14"/>
  <c r="E46" i="14"/>
  <c r="F132" i="14"/>
  <c r="E132" i="14"/>
  <c r="G132" i="14"/>
  <c r="F102" i="14"/>
  <c r="E102" i="14"/>
  <c r="G102" i="14"/>
  <c r="G18" i="14"/>
  <c r="E18" i="14"/>
  <c r="F18" i="14"/>
  <c r="E322" i="14"/>
  <c r="F322" i="14"/>
  <c r="G322" i="14"/>
  <c r="E123" i="14"/>
  <c r="F123" i="14"/>
  <c r="G123" i="14"/>
  <c r="E327" i="14"/>
  <c r="G327" i="14"/>
  <c r="F327" i="14"/>
  <c r="E126" i="14"/>
  <c r="F126" i="14"/>
  <c r="G126" i="14"/>
  <c r="E229" i="14"/>
  <c r="F229" i="14"/>
  <c r="G229" i="14"/>
  <c r="E174" i="14"/>
  <c r="F174" i="14"/>
  <c r="G174" i="14"/>
  <c r="F251" i="14"/>
  <c r="G251" i="14"/>
  <c r="E251" i="14"/>
  <c r="F259" i="14"/>
  <c r="G259" i="14"/>
  <c r="E259" i="14"/>
  <c r="F91" i="14"/>
  <c r="G91" i="14"/>
  <c r="E91" i="14"/>
  <c r="E295" i="14"/>
  <c r="F295" i="14"/>
  <c r="G295" i="14"/>
  <c r="E94" i="14"/>
  <c r="F94" i="14"/>
  <c r="G94" i="14"/>
  <c r="F156" i="14"/>
  <c r="E156" i="14"/>
  <c r="G156" i="14"/>
  <c r="G101" i="14"/>
  <c r="F101" i="14"/>
  <c r="E101" i="14"/>
  <c r="E119" i="14"/>
  <c r="F119" i="14"/>
  <c r="G119" i="14"/>
  <c r="G217" i="14"/>
  <c r="E217" i="14"/>
  <c r="F217" i="14"/>
  <c r="E81" i="14"/>
  <c r="G81" i="14"/>
  <c r="F81" i="14"/>
  <c r="G257" i="14"/>
  <c r="F257" i="14"/>
  <c r="E257" i="14"/>
  <c r="F184" i="14"/>
  <c r="G184" i="14"/>
  <c r="E184" i="14"/>
  <c r="E31" i="14"/>
  <c r="F31" i="14"/>
  <c r="G31" i="14"/>
  <c r="G197" i="14"/>
  <c r="F197" i="14"/>
  <c r="E197" i="14"/>
  <c r="E51" i="14"/>
  <c r="F51" i="14"/>
  <c r="G51" i="14"/>
  <c r="F252" i="14"/>
  <c r="G252" i="14"/>
  <c r="E252" i="14"/>
  <c r="E239" i="14"/>
  <c r="F239" i="14"/>
  <c r="G239" i="14"/>
  <c r="G170" i="14"/>
  <c r="E170" i="14"/>
  <c r="F170" i="14"/>
  <c r="G225" i="14"/>
  <c r="E225" i="14"/>
  <c r="F225" i="14"/>
  <c r="G75" i="14"/>
  <c r="E75" i="14"/>
  <c r="F75" i="14"/>
  <c r="G279" i="14"/>
  <c r="E279" i="14"/>
  <c r="F279" i="14"/>
  <c r="G78" i="14"/>
  <c r="E78" i="14"/>
  <c r="F78" i="14"/>
  <c r="G130" i="14"/>
  <c r="E130" i="14"/>
  <c r="F130" i="14"/>
  <c r="E54" i="14"/>
  <c r="F54" i="14"/>
  <c r="G54" i="14"/>
  <c r="F208" i="14"/>
  <c r="G208" i="14"/>
  <c r="E208" i="14"/>
  <c r="G122" i="14"/>
  <c r="E122" i="14"/>
  <c r="F122" i="14"/>
  <c r="F111" i="14"/>
  <c r="G111" i="14"/>
  <c r="E111" i="14"/>
  <c r="F172" i="14"/>
  <c r="G172" i="14"/>
  <c r="E172" i="14"/>
  <c r="E36" i="14"/>
  <c r="F36" i="14"/>
  <c r="G36" i="14"/>
  <c r="G218" i="14"/>
  <c r="E218" i="14"/>
  <c r="F218" i="14"/>
  <c r="F168" i="14"/>
  <c r="G168" i="14"/>
  <c r="E168" i="14"/>
  <c r="E15" i="14"/>
  <c r="F15" i="14"/>
  <c r="G15" i="14"/>
  <c r="F181" i="14"/>
  <c r="G181" i="14"/>
  <c r="E181" i="14"/>
  <c r="E4" i="14"/>
  <c r="F4" i="14"/>
  <c r="G4" i="14"/>
  <c r="G145" i="14"/>
  <c r="F145" i="14"/>
  <c r="E145" i="14"/>
  <c r="G157" i="14"/>
  <c r="F157" i="14"/>
  <c r="E157" i="14"/>
  <c r="G99" i="14"/>
  <c r="E99" i="14"/>
  <c r="F99" i="14"/>
  <c r="F277" i="14"/>
  <c r="G277" i="14"/>
  <c r="E277" i="14"/>
  <c r="E65" i="14"/>
  <c r="G65" i="14"/>
  <c r="F65" i="14"/>
  <c r="F180" i="14"/>
  <c r="G180" i="14"/>
  <c r="E180" i="14"/>
  <c r="E59" i="14"/>
  <c r="F59" i="14"/>
  <c r="G59" i="14"/>
  <c r="E263" i="14"/>
  <c r="F263" i="14"/>
  <c r="G263" i="14"/>
  <c r="E62" i="14"/>
  <c r="F62" i="14"/>
  <c r="G62" i="14"/>
  <c r="I3" i="10"/>
  <c r="B65" i="1" s="1"/>
  <c r="E3" i="10"/>
  <c r="B68" i="1" s="1"/>
  <c r="AI1" i="8"/>
  <c r="AI5" i="8"/>
  <c r="AI2" i="8"/>
  <c r="AJ5" i="8" s="1"/>
  <c r="AI3" i="8"/>
  <c r="AI4" i="8"/>
  <c r="U19" i="1" l="1"/>
  <c r="AG19" i="1" s="1"/>
  <c r="AA34" i="1" s="1"/>
  <c r="AK9" i="1"/>
  <c r="C2" i="10" s="1"/>
  <c r="S94" i="14"/>
  <c r="S327" i="14"/>
  <c r="S326" i="14"/>
  <c r="S249" i="14"/>
  <c r="S317" i="14"/>
  <c r="S187" i="14"/>
  <c r="S163" i="14"/>
  <c r="S150" i="14"/>
  <c r="S181" i="14"/>
  <c r="S208" i="14"/>
  <c r="S251" i="14"/>
  <c r="S345" i="14"/>
  <c r="S261" i="14"/>
  <c r="S288" i="14"/>
  <c r="S137" i="14"/>
  <c r="S338" i="14"/>
  <c r="S48" i="14"/>
  <c r="S222" i="14"/>
  <c r="S109" i="14"/>
  <c r="S85" i="14"/>
  <c r="S194" i="14"/>
  <c r="S212" i="14"/>
  <c r="S100" i="14"/>
  <c r="S71" i="14"/>
  <c r="S310" i="14"/>
  <c r="S352" i="14"/>
  <c r="S117" i="14"/>
  <c r="S149" i="14"/>
  <c r="S127" i="14"/>
  <c r="S298" i="14"/>
  <c r="S171" i="14"/>
  <c r="S274" i="14"/>
  <c r="S175" i="14"/>
  <c r="S337" i="14"/>
  <c r="S331" i="14"/>
  <c r="S60" i="14"/>
  <c r="S57" i="14"/>
  <c r="S162" i="14"/>
  <c r="S188" i="14"/>
  <c r="S329" i="14"/>
  <c r="S120" i="14"/>
  <c r="S73" i="14"/>
  <c r="S277" i="14"/>
  <c r="S197" i="14"/>
  <c r="S303" i="14"/>
  <c r="S213" i="14"/>
  <c r="S253" i="14"/>
  <c r="S76" i="14"/>
  <c r="S65" i="14"/>
  <c r="S75" i="14"/>
  <c r="S139" i="14"/>
  <c r="S210" i="14"/>
  <c r="S140" i="14"/>
  <c r="S176" i="14"/>
  <c r="S229" i="14"/>
  <c r="S62" i="14"/>
  <c r="S322" i="14"/>
  <c r="S132" i="14"/>
  <c r="S79" i="14"/>
  <c r="S63" i="14"/>
  <c r="S285" i="14"/>
  <c r="S302" i="14"/>
  <c r="S220" i="14"/>
  <c r="S319" i="14"/>
  <c r="S195" i="14"/>
  <c r="S47" i="14"/>
  <c r="S74" i="14"/>
  <c r="S141" i="14"/>
  <c r="S173" i="14"/>
  <c r="S196" i="14"/>
  <c r="S80" i="14"/>
  <c r="S341" i="14"/>
  <c r="S241" i="14"/>
  <c r="S116" i="14"/>
  <c r="S283" i="14"/>
  <c r="S211" i="14"/>
  <c r="S134" i="14"/>
  <c r="S38" i="14"/>
  <c r="S315" i="14"/>
  <c r="S147" i="14"/>
  <c r="S355" i="14"/>
  <c r="S365" i="14"/>
  <c r="S138" i="14"/>
  <c r="S262" i="14"/>
  <c r="S238" i="14"/>
  <c r="S281" i="14"/>
  <c r="S98" i="14"/>
  <c r="S219" i="14"/>
  <c r="S106" i="14"/>
  <c r="S290" i="14"/>
  <c r="S51" i="14"/>
  <c r="S40" i="14"/>
  <c r="S282" i="14"/>
  <c r="S271" i="14"/>
  <c r="S122" i="14"/>
  <c r="S170" i="14"/>
  <c r="S358" i="14"/>
  <c r="S233" i="14"/>
  <c r="S89" i="14"/>
  <c r="S58" i="14"/>
  <c r="S336" i="14"/>
  <c r="S201" i="14"/>
  <c r="S344" i="14"/>
  <c r="S308" i="14"/>
  <c r="S97" i="14"/>
  <c r="S136" i="14"/>
  <c r="S333" i="14"/>
  <c r="S168" i="14"/>
  <c r="S46" i="14"/>
  <c r="S316" i="14"/>
  <c r="S248" i="14"/>
  <c r="S72" i="14"/>
  <c r="S50" i="14"/>
  <c r="S96" i="14"/>
  <c r="S323" i="14"/>
  <c r="S263" i="14"/>
  <c r="S157" i="14"/>
  <c r="S172" i="14"/>
  <c r="S130" i="14"/>
  <c r="S184" i="14"/>
  <c r="S81" i="14"/>
  <c r="S232" i="14"/>
  <c r="S200" i="14"/>
  <c r="S342" i="14"/>
  <c r="S182" i="14"/>
  <c r="S230" i="14"/>
  <c r="S143" i="14"/>
  <c r="S206" i="14"/>
  <c r="S325" i="14"/>
  <c r="S77" i="14"/>
  <c r="S144" i="14"/>
  <c r="S299" i="14"/>
  <c r="S275" i="14"/>
  <c r="S125" i="14"/>
  <c r="S313" i="14"/>
  <c r="S223" i="14"/>
  <c r="S280" i="14"/>
  <c r="S216" i="14"/>
  <c r="S320" i="14"/>
  <c r="S129" i="14"/>
  <c r="S115" i="14"/>
  <c r="S287" i="14"/>
  <c r="S305" i="14"/>
  <c r="S244" i="14"/>
  <c r="S237" i="14"/>
  <c r="S335" i="14"/>
  <c r="S227" i="14"/>
  <c r="S240" i="14"/>
  <c r="S118" i="14"/>
  <c r="S361" i="14"/>
  <c r="S226" i="14"/>
  <c r="S199" i="14"/>
  <c r="S146" i="14"/>
  <c r="S234" i="14"/>
  <c r="S53" i="14"/>
  <c r="S55" i="14"/>
  <c r="S295" i="14"/>
  <c r="S123" i="14"/>
  <c r="S360" i="14"/>
  <c r="S68" i="14"/>
  <c r="S198" i="14"/>
  <c r="S214" i="14"/>
  <c r="S160" i="14"/>
  <c r="S39" i="14"/>
  <c r="S351" i="14"/>
  <c r="S169" i="14"/>
  <c r="S103" i="14"/>
  <c r="S354" i="14"/>
  <c r="S44" i="14"/>
  <c r="S231" i="14"/>
  <c r="S217" i="14"/>
  <c r="S102" i="14"/>
  <c r="S245" i="14"/>
  <c r="S107" i="14"/>
  <c r="S255" i="14"/>
  <c r="S291" i="14"/>
  <c r="S272" i="14"/>
  <c r="S59" i="14"/>
  <c r="S145" i="14"/>
  <c r="S218" i="14"/>
  <c r="S111" i="14"/>
  <c r="S78" i="14"/>
  <c r="S239" i="14"/>
  <c r="S257" i="14"/>
  <c r="S156" i="14"/>
  <c r="S91" i="14"/>
  <c r="S353" i="14"/>
  <c r="S142" i="14"/>
  <c r="S347" i="14"/>
  <c r="S247" i="14"/>
  <c r="S56" i="14"/>
  <c r="S41" i="14"/>
  <c r="S296" i="14"/>
  <c r="S193" i="14"/>
  <c r="S61" i="14"/>
  <c r="S84" i="14"/>
  <c r="S307" i="14"/>
  <c r="S185" i="14"/>
  <c r="S167" i="14"/>
  <c r="S183" i="14"/>
  <c r="S289" i="14"/>
  <c r="S128" i="14"/>
  <c r="S66" i="14"/>
  <c r="S332" i="14"/>
  <c r="S284" i="14"/>
  <c r="S93" i="14"/>
  <c r="S189" i="14"/>
  <c r="S267" i="14"/>
  <c r="S192" i="14"/>
  <c r="S177" i="14"/>
  <c r="S186" i="14"/>
  <c r="S131" i="14"/>
  <c r="S110" i="14"/>
  <c r="S330" i="14"/>
  <c r="S265" i="14"/>
  <c r="S311" i="14"/>
  <c r="S133" i="14"/>
  <c r="S90" i="14"/>
  <c r="S314" i="14"/>
  <c r="S121" i="14"/>
  <c r="S304" i="14"/>
  <c r="S350" i="14"/>
  <c r="S159" i="14"/>
  <c r="S180" i="14"/>
  <c r="S225" i="14"/>
  <c r="S252" i="14"/>
  <c r="S126" i="14"/>
  <c r="S209" i="14"/>
  <c r="S95" i="14"/>
  <c r="S114" i="14"/>
  <c r="S155" i="14"/>
  <c r="S235" i="14"/>
  <c r="S166" i="14"/>
  <c r="S45" i="14"/>
  <c r="S364" i="14"/>
  <c r="S362" i="14"/>
  <c r="S363" i="14"/>
  <c r="S64" i="14"/>
  <c r="S191" i="14"/>
  <c r="S151" i="14"/>
  <c r="S254" i="14"/>
  <c r="S26" i="14"/>
  <c r="S165" i="14"/>
  <c r="S264" i="14"/>
  <c r="S242" i="14"/>
  <c r="S270" i="14"/>
  <c r="S292" i="14"/>
  <c r="S135" i="14"/>
  <c r="S42" i="14"/>
  <c r="S9" i="14"/>
  <c r="S105" i="14"/>
  <c r="S153" i="14"/>
  <c r="S67" i="14"/>
  <c r="S348" i="14"/>
  <c r="S83" i="14"/>
  <c r="S179" i="14"/>
  <c r="S236" i="14"/>
  <c r="S224" i="14"/>
  <c r="S82" i="14"/>
  <c r="S356" i="14"/>
  <c r="S204" i="14"/>
  <c r="S221" i="14"/>
  <c r="S161" i="14"/>
  <c r="S256" i="14"/>
  <c r="S10" i="14"/>
  <c r="S49" i="14"/>
  <c r="S294" i="14"/>
  <c r="S293" i="14"/>
  <c r="S52" i="14"/>
  <c r="S339" i="14"/>
  <c r="S29" i="14"/>
  <c r="S324" i="14"/>
  <c r="S349" i="14"/>
  <c r="S297" i="14"/>
  <c r="S309" i="14"/>
  <c r="S207" i="14"/>
  <c r="S152" i="14"/>
  <c r="S43" i="14"/>
  <c r="S205" i="14"/>
  <c r="S300" i="14"/>
  <c r="S87" i="14"/>
  <c r="S269" i="14"/>
  <c r="S276" i="14"/>
  <c r="S346" i="14"/>
  <c r="S148" i="14"/>
  <c r="S260" i="14"/>
  <c r="S99" i="14"/>
  <c r="S54" i="14"/>
  <c r="S279" i="14"/>
  <c r="S119" i="14"/>
  <c r="S259" i="14"/>
  <c r="S174" i="14"/>
  <c r="S343" i="14"/>
  <c r="S124" i="14"/>
  <c r="S318" i="14"/>
  <c r="S246" i="14"/>
  <c r="S158" i="14"/>
  <c r="S164" i="14"/>
  <c r="S366" i="14"/>
  <c r="S154" i="14"/>
  <c r="S203" i="14"/>
  <c r="S312" i="14"/>
  <c r="S306" i="14"/>
  <c r="S340" i="14"/>
  <c r="S112" i="14"/>
  <c r="S286" i="14"/>
  <c r="S113" i="14"/>
  <c r="S357" i="14"/>
  <c r="S70" i="14"/>
  <c r="S202" i="14"/>
  <c r="S86" i="14"/>
  <c r="S243" i="14"/>
  <c r="S273" i="14"/>
  <c r="S301" i="14"/>
  <c r="S334" i="14"/>
  <c r="S228" i="14"/>
  <c r="S178" i="14"/>
  <c r="S328" i="14"/>
  <c r="S215" i="14"/>
  <c r="S250" i="14"/>
  <c r="S266" i="14"/>
  <c r="S278" i="14"/>
  <c r="S101" i="14"/>
  <c r="S359" i="14"/>
  <c r="S190" i="14"/>
  <c r="S268" i="14"/>
  <c r="S258" i="14"/>
  <c r="S92" i="14"/>
  <c r="S321" i="14"/>
  <c r="S104" i="14"/>
  <c r="S88" i="14"/>
  <c r="S108" i="14"/>
  <c r="S69" i="14"/>
  <c r="S36" i="14"/>
  <c r="S4" i="14"/>
  <c r="S3" i="14"/>
  <c r="S7" i="14"/>
  <c r="S35" i="14"/>
  <c r="S13" i="14"/>
  <c r="S20" i="14"/>
  <c r="S25" i="14"/>
  <c r="S11" i="14"/>
  <c r="S31" i="14"/>
  <c r="S32" i="14"/>
  <c r="S6" i="14"/>
  <c r="S5" i="14"/>
  <c r="S21" i="14"/>
  <c r="S16" i="14"/>
  <c r="S24" i="14"/>
  <c r="S33" i="14"/>
  <c r="S19" i="14"/>
  <c r="S14" i="14"/>
  <c r="S22" i="14"/>
  <c r="S23" i="14"/>
  <c r="S27" i="14"/>
  <c r="S15" i="14"/>
  <c r="S12" i="14"/>
  <c r="S34" i="14"/>
  <c r="S30" i="14"/>
  <c r="S18" i="14"/>
  <c r="S28" i="14"/>
  <c r="S17" i="14"/>
  <c r="S37" i="14"/>
  <c r="S8" i="14"/>
  <c r="B3" i="8"/>
  <c r="B11" i="8" s="1"/>
  <c r="B71" i="1" s="1"/>
  <c r="AJ2" i="8"/>
  <c r="M1" i="8" s="1"/>
  <c r="M9" i="8" s="1"/>
  <c r="B51" i="1" s="1"/>
  <c r="AJ4" i="8"/>
  <c r="B2" i="8" s="1"/>
  <c r="B10" i="8" s="1"/>
  <c r="B70" i="1" s="1"/>
  <c r="AJ3" i="8"/>
  <c r="X1" i="8" s="1"/>
  <c r="X9" i="8" s="1"/>
  <c r="B52" i="1" s="1"/>
  <c r="AJ1" i="8"/>
  <c r="B1" i="8" s="1"/>
  <c r="B9" i="8" s="1"/>
  <c r="B50" i="1" s="1"/>
  <c r="O34" i="1"/>
  <c r="B1" i="10"/>
  <c r="F44" i="10" s="1"/>
  <c r="B45" i="1"/>
  <c r="S77" i="1" l="1"/>
  <c r="F19" i="10"/>
  <c r="F14" i="10"/>
  <c r="F27" i="10"/>
  <c r="F34" i="10"/>
  <c r="C1" i="10"/>
  <c r="G23" i="10" s="1"/>
  <c r="F9" i="10"/>
  <c r="AE77" i="1"/>
  <c r="AC96" i="1" s="1"/>
  <c r="B47" i="1"/>
  <c r="F18" i="10"/>
  <c r="F37" i="10"/>
  <c r="F35" i="10"/>
  <c r="F21" i="10"/>
  <c r="F28" i="10"/>
  <c r="F29" i="10"/>
  <c r="F15" i="10"/>
  <c r="F26" i="10"/>
  <c r="F42" i="10"/>
  <c r="F1" i="10"/>
  <c r="F36" i="10"/>
  <c r="F10" i="10"/>
  <c r="F24" i="10"/>
  <c r="F23" i="10"/>
  <c r="F16" i="10"/>
  <c r="F11" i="10"/>
  <c r="F39" i="10"/>
  <c r="F20" i="10"/>
  <c r="F12" i="10"/>
  <c r="F48" i="10"/>
  <c r="F2" i="10"/>
  <c r="F13" i="10"/>
  <c r="F46" i="10"/>
  <c r="F49" i="10"/>
  <c r="F33" i="10"/>
  <c r="R76" i="1" l="1"/>
  <c r="R77" i="1" s="1"/>
  <c r="U76" i="1" s="1"/>
  <c r="S78" i="1" s="1"/>
  <c r="S76" i="1" s="1"/>
  <c r="R78" i="1" s="1"/>
  <c r="U77" i="1" s="1"/>
  <c r="U78" i="1" s="1"/>
  <c r="CF40" i="1"/>
  <c r="Q96" i="1"/>
  <c r="B46" i="1"/>
  <c r="G51" i="10"/>
  <c r="G10" i="10"/>
  <c r="G36" i="10"/>
  <c r="G14" i="10"/>
  <c r="G37" i="10"/>
  <c r="G1" i="10"/>
  <c r="G33" i="10"/>
  <c r="G13" i="10"/>
  <c r="G44" i="10"/>
  <c r="G22" i="10"/>
  <c r="G18" i="10"/>
  <c r="B48" i="1"/>
  <c r="DD40" i="1"/>
  <c r="G20" i="10"/>
  <c r="G40" i="10"/>
  <c r="AD76" i="1"/>
  <c r="AD77" i="1" s="1"/>
  <c r="AG76" i="1" s="1"/>
  <c r="AE78" i="1" s="1"/>
  <c r="AE76" i="1" s="1"/>
  <c r="AD78" i="1" s="1"/>
  <c r="AG77" i="1" s="1"/>
  <c r="AG78" i="1" s="1"/>
  <c r="G11" i="10"/>
  <c r="G49" i="10"/>
  <c r="G28" i="10"/>
  <c r="G31" i="10"/>
  <c r="G42" i="10"/>
  <c r="G2" i="10"/>
  <c r="G34" i="10"/>
  <c r="G46" i="10"/>
  <c r="G29" i="10"/>
  <c r="G24" i="10"/>
  <c r="G16" i="10"/>
  <c r="G15" i="10"/>
  <c r="G35" i="10"/>
  <c r="G9" i="10"/>
  <c r="F3" i="10"/>
  <c r="O68" i="1" s="1"/>
  <c r="G3" i="10" l="1"/>
  <c r="AB68" i="1" s="1"/>
</calcChain>
</file>

<file path=xl/sharedStrings.xml><?xml version="1.0" encoding="utf-8"?>
<sst xmlns="http://schemas.openxmlformats.org/spreadsheetml/2006/main" count="1901" uniqueCount="524">
  <si>
    <t>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t>
  </si>
  <si>
    <t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t>
  </si>
  <si>
    <t xml:space="preserve">Personajes búfalo </t>
  </si>
  <si>
    <t>La gente bajo signo del búfalo  son pacientes, taciturnos e inspiran confianza en otras personas. Tienden para ser excéntricos, y encolerizan fácilmente. Tienen genios feroces y aunque hablan poco, cuando lo hacen son absolutamente elocuentes. La gente del búfalo  está mentalmente y físicamente alerta. Generalmente tolerante, el es notable obstinado, y ella odia fallar o ser opuesta. Ella es la más compatible con la gente de la serpiente, del gallo, y de la rata. Los búfalo son personas cordiales y pacientes, que corren el peligro de ser consideradas algo excéntricas. Pero saben inspirar confianza en las gentes que los rodean. Suelen mostrar una gran habilidad manual y con sus manos realizan un gran número de creaciones.</t>
  </si>
  <si>
    <t>VERIFICANDO SI EXISTE INCOMPATIBILIDAD CON EL ASCENDENTE</t>
  </si>
  <si>
    <t xml:space="preserve">Aman la libertad y son románticos, soñadores, idealistas, creen en los cuentos de hadas y expresan sus sentimientos y emociones con mucha facilidad aunque por su vivacidad pueden caer en contradicciones. Siempre están acompañados y a veces dan la apariencia de veleidosos y engreídos. Se cansan con facilidad, sobre todo cuando se aburren o no encuentran motivación a su vanidad y su ego. Fantasean mucho con sus sentimientos, son fieles mientras la relación dure. Son excelentes en ventas, relaciones públicas, modelaje diseño de modas, publicidad, solución de conflictos, comunicación; son buenos locutores, periodistas, mercadólogos, artistas, cantantes, artesanos, esteticistas, ptometristas, editores, diplomáticos, jueces y fiscales. En la salud deben tener cuidado con los tumores cerebrales, enfermedades mentales, estrés, agotamiento, hiperactividad, problemas de la sangre, glándulas, corazón, y ojos. Necesitan del soporte de los demás elementos para no extinguirse. Son extremadamente orgullosos, impacientes, les falta control sobre sí mismos, inconstantes, y banales; se aburren con facilidad, son influenciables y volubles. </t>
  </si>
  <si>
    <t>Su trigrama es Ken, significa montaña y representa al hijo menor. Su energía es yang, lo que le da la fortaleza y explosividad de la montaña. Ambos conceptos están escondidos dentro de la tranquilidad y la quietud de la montaña. Se les describe como la contemplación, la etapa de transición hacía un resurgimiento. Son personas con gran facilidad para acumular abundancia; son lentos pero su perseverancia los lleva a aprender a través de sus experiencias. Su apariencia denota fortaleza y estabilidad, sin embargo, su aspecto negativo es la explosividad y violencia que pueden manifestar cuando algo les irrita. Son personas con fuertes reservas de energía; se muestran  reservados y fríos hacia la sociedad; son excelentes argumentadores, es difícil hacerlos cambiar de posición. Son claros y decididos, tienen un gran sentido de la justicia y generadores de cambio, proveedores, metódicos y bien fundamentados leales, equilibrados y fieles. Ocultan sus sentimientos y emociones; son confiables, se preocupan por los demás y no se adaptan fácilmente a los cambios; son muy conservadores.</t>
  </si>
  <si>
    <t xml:space="preserve">Su trigrama es Li, significa fuego y su energía es yang, Esto los hace muy atractivos hacia los demás; gustan de los lujos y son idealistas y soñadores. Parecen castañuelas por el exceso de actividad que manifiestan; tienen agilidad mental, son vivaces y alegres, y muy variables emocionalmente. Sensitivos, sentimentales, impulsivos, depresivos, se apagan y extenúan con facilidad. Se manifiestan a través de sus emociones; son excitables y apasionados; tienen poca confianza y son vanidosos. Son inspirados cálidos como el sol: se comunican con facilidad y son líderes, excelentes actores, liberales suaves, orgullosos, superficiales, sofisticado, y criticones. Juzgan por las apariencias y son observadores de pequeños detalles superfluos. No son rencorosos; son cariñosos y explosivos. Pueden caer en la hiperactividad. El fuego es un elemento expansivo, por lo que pueden tener toda clase de contactos, se distinguen por derecho propio, impresionan e irradian magnetismo. Son personas francas, comunicativas, incapaces de mantener secretos; cariñosas osas y brillantes, carismáticas y poco leales. </t>
  </si>
  <si>
    <t>La gente nacida bajo signo de la rata para su encanto y atracción para el sexo opuesto. Ella es trabajadora y por lo tanto a menudo financieramente rica. Y son probables ser los perfeccionistas. Encolerizan y ama a la gente de la rata fácilmente chismear. Sus ambiciones son grandes, y son generalmente muy acertadas. El ratón es muy social y tiene muchos amigos a que él apoye de maneras abundantes. La familia es importante; un ratón es leal a su familia y luchará para ella si Ellos.necesario son los más compatibles con la gente llevada en los años del dragón, del mono, y del búfalo . Ante los grandes obstáculos, se diría que parecen arredrarse; no obstante, esa detención en la que se mantienen por espacio de unos minutos les sirve para planear el ataque más eficaz.</t>
  </si>
  <si>
    <t>En personalidad son una combinación brillante. Socialmente son afines y se convierten en una pareja muy atractiva y alegre.</t>
  </si>
  <si>
    <t>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t>
  </si>
  <si>
    <t>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t>
  </si>
  <si>
    <t>En el número energético son positivos, de iniciativa, creativos e impulsores de grandes proyectos y negocios.</t>
  </si>
  <si>
    <t>En el número energético ambos tienen la habilidad de destacar y asimilar sus triunfos, deben trabajar separados y no verse como competencia.</t>
  </si>
  <si>
    <t>En personalidad, deben evitar caer en competencias y discusiones, ambos son personas que destacan profesionalmente por sí mismas.</t>
  </si>
  <si>
    <t xml:space="preserve"> En carácter son firmes ambos números y convencidos de sus ideales, deben dialogar mucho para compartir en vez de competir. </t>
  </si>
  <si>
    <t>En número energético pueden formar unidos un equipo dinámico, creativo, competitivo y ganador, a menos que caigan en rivalidad y la competencia.</t>
  </si>
  <si>
    <t xml:space="preserve">En carácter ambos alimentan su propio ego y vanidad. Deben tratar de no dominarse ni competir por cuestiones de ego. pueden aprovechar sus habilidades de comunicación y creatividad para trabajar juntos en nuevas ideas. </t>
  </si>
  <si>
    <t xml:space="preserve">A veces ni ellos mismos se conocen en este terreno. Se hallan dotados para el circo, el teatro, el cine la televisión y la política, siempre que lleven al lado alguien que prevenga sus caprichos. En las cuestiones amorosas, los monos deben respetar a los tigres ante el riesgo de recibir un zarpazo mortal si se pasan con sus bromas. Los demás animales les aguantan bastante bien, en especial el dragón y la rata. </t>
  </si>
  <si>
    <t>FINALMENTE, ¿CÓMO ES LA COMPATIBILIDAD CON TU PAREJA?</t>
  </si>
  <si>
    <t>En el carácter pueden crear una constructiva relación de crecimiento y solidez.</t>
  </si>
  <si>
    <t>En carácter comparten la tenacidad, la voluntad, la perfección y el liderazgo. Pueden representar una combinación fuerte.</t>
  </si>
  <si>
    <t>En el número energético representan el poder y la fuerza así como la tenacidad y el liderazgo</t>
  </si>
  <si>
    <t>En personalidad son una combinación sociable y alegre, brillante y líder. Son una pareja que impone moda y los demás los imitan.</t>
  </si>
  <si>
    <t>En el carácter los dos son la dignidad y el respeto. Representan la integridad y la responsabilidad por los valores morales del ser humano.</t>
  </si>
  <si>
    <t>En personalidad ambos toman la vida con respeto y seriedad, mantienen una manera honesta de comunicación y fundamentan su relación en el respeto de los espacios del otro.</t>
  </si>
  <si>
    <t>En el número energético comparten el amor por la organización y la simplicidad, les gusta realizar cosas y planes con dignidad.</t>
  </si>
  <si>
    <t>Su trigrama es Kan y significa agua, representa al hijo de en medio y su origen es yin. Este tipo de personas, al ser representados en el 1 Ching como el hijo de en medio, son los capaces de resolver y mediar en los problemas y las discusiones. Su naturaleza es diplomática y tranquila; son personas de gran profundidad de pensamientos y acción. Tienen una fortaleza escondida y son sentimentales, buscan la esencia de todo y el aspecto profundo de las cosas y las circunstancias.  Como su elemento Agua, pueden ser tranquilos, pacíficos y relajados y al mismo tiempo vivaces, ágiles, turbulentos como las grandes olas del mar o las cascadas; son aventureros y exploradores; su espíritu tiende a ser libre, incontrolable, por lo que debe haber un contenedor o controlador para evitar que se conviertan en un caos y en personas indisciplinadas; sin embargo, si se les controla en exceso su reacción es volverse demasiado rígidos y disciplinados, sobre todo cuando su naturaleza es tranquila. Son sensibles, artísticos y filosóficos; valoran mucho su espacio y les molesta si se sienten invadidos.</t>
  </si>
  <si>
    <t xml:space="preserve">Pueden despertar grandes pasiones amorosas, pero raramente se entregarán a otra persona de una forma total y esclavizadora. Pueden unirse a la mayoría de los animales del Horóscopo Chino, pero jamás con la burlona serpiente, sobre todo los hombres, se dejarían engañar por tan "deslumbrante" belleza. </t>
  </si>
  <si>
    <t xml:space="preserve"> Resultan unos grandes hombres de negocio, y respetarán hasta el final la letra de un contrato. La Justicia les ofrece grandes oportunidades. En Asia se confunde al gato con el conejo y la liebre, de acuerdo con los países. Porque estos tres animales son considerados la representación de lo sobrenatural, del hechizo y de la brujería. </t>
  </si>
  <si>
    <t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t>
  </si>
  <si>
    <t>Fijémonos en las cualidades del mono fuera del Horóscopo Chino: es hábil, siempre se halla en continuo movimiento, es ingenioso y especialmente, resulta malvado. Cuando creemos que le hemos amaestrado, nos sorprende con una acción desagradable que puede echar por tierra todas nuestras esperanzas. Algo parecido sucede con las personas nacidas en estos años que los asiáticos llaman del mono. Por otra parte, son originales e ingeniosos. Poseen un gran sentido común y disponen de una importante carga de erotismo. Cuando les interesa son capaces de adoptar una actitud fría y desapasionada. Les gusta dirigir y mandar, y están muy capacita dos para desarrollar y dirigir empresas de gran envergadura. Su peor defecto es que se desaniman de una forma imprevisible ante las dificultades más tontas cuando antes habían salvado otras de indudable gravedad. Juguetones, detallistas y vanidosos, poseen una importante carga de maldad. Su personalidad, se parece a los cristales de colores de un calidoscopio en permanente rotación: nunca se sabrá que reacción van a mostrar en cualquier momento.</t>
  </si>
  <si>
    <t>Representa sensibilidad e impulsividad; deben comunicarse y platicar, ya que la pasión puede acabarse con facilidad; es una relación que funciona gracias al dinamismo y la actividad.</t>
  </si>
  <si>
    <t>La impulsividad de la madera puede destruir el romanticismo de la tierra. Se atraen con mucha fuerza, pero les cuesta trabajo comunicarse.</t>
  </si>
  <si>
    <t>Relación explosiva dinámica y pasional, es más importante el sexo que el romanticismo, es fundamental que expresen sus necesidades individuales para complementarse y apoyarse.</t>
  </si>
  <si>
    <t>Combinación explosiva llena de pasión, orgullo, ego y vanidad. Deben de tener cuidado de no competir porque pueden destruirse y perder la pasión y el interés del uno en el otro. Deben buscar siempre la actividad para evitar el aburrimiento.</t>
  </si>
  <si>
    <t>Es una buena combinación el fuego posee la pasión y la diversión, mientras que la tierra aporta el romanticismo y la sensatez así como la alegría. Hay buena comunicación.</t>
  </si>
  <si>
    <t>Es una atracción muy erótica en la cual el fuego puede derretir el metal. Debe cuidarse la relación porque el fuego puede opacar y destruir al metal.</t>
  </si>
  <si>
    <t>Relación basada en el romanticismo y el aspecto hogareño, poca pasión gran compatibilidad física y sentimental ambos se preocupan por las necesidades del otro.</t>
  </si>
  <si>
    <t>Se manifiestan como personas que se adaptan y complementan la una a la otra. Sus diferentes puntos de vista e ideas sobre la vida y los sentimientos nutre la sexualidad y la pasión entre ellos.</t>
  </si>
  <si>
    <t>Deben aprender a ceder y compartir. Es una relación muy fuerte en lo que se refiere a la pasión y el sexo, sin embargo deben evitar el egoismo para apoyarse y nutrirse el uno al otro.</t>
  </si>
  <si>
    <t>ALGUNAS COSAS CON RELACIÓN A LAS COMPATIVILIDADES DE LAS PAREJAS.</t>
  </si>
  <si>
    <t>agua-madera</t>
  </si>
  <si>
    <t>agua-metal</t>
  </si>
  <si>
    <t>agua-fuego</t>
  </si>
  <si>
    <t>tierra-tierra</t>
  </si>
  <si>
    <t>tierra-madera</t>
  </si>
  <si>
    <t>tierra-metal</t>
  </si>
  <si>
    <t>tierra-fuego</t>
  </si>
  <si>
    <t>madera-madera</t>
  </si>
  <si>
    <t>madera-tierra</t>
  </si>
  <si>
    <t>madera-metal</t>
  </si>
  <si>
    <t>madera-fuego</t>
  </si>
  <si>
    <t>metal-metal</t>
  </si>
  <si>
    <t>metal-tierra</t>
  </si>
  <si>
    <t>metal-fuego</t>
  </si>
  <si>
    <t>fuego-fuego</t>
  </si>
  <si>
    <t>La compatibilidad de los elementos</t>
  </si>
  <si>
    <t>norte</t>
  </si>
  <si>
    <t>suroeste</t>
  </si>
  <si>
    <t>este</t>
  </si>
  <si>
    <t>sureste</t>
  </si>
  <si>
    <t>centro</t>
  </si>
  <si>
    <t>noroeste</t>
  </si>
  <si>
    <t>oeste</t>
  </si>
  <si>
    <t>noreste</t>
  </si>
  <si>
    <t>sur</t>
  </si>
  <si>
    <t>Viajar o moverse hacia el norte es sentirse más independiente, más libre, pacífico y objetivo. Es la dirección ideal si estás buscando privacidad, alejarte un rato del mundo, estar en plan romántico, escribir un libro, reestructura tu vida, hacer planes. Muy adecuada para trabajar en cuestiones artísticas y para recuperar tu salud; época de convalecencia, descanso y sanación.</t>
  </si>
  <si>
    <t>Viajar  y moverse hacia esta dirección es adecuado cuando buscamos volver más practico nuestro punto de vista, atraer a nuestra vida el compañerismo, la labor de equipo, la maternidad, desarrollar amistades o proyectos. También es adecuada para promover la estabilidad en nuestra vida y mejorar la comunicación y nuestra relación sentimental, acercamiento a nuestra pareja, consolidar la relación matrimonial, afianzar la relación materno pareja. También es apropiada para cambiar nuestro estilo de vida y mejorar la calidad de ésta.</t>
  </si>
  <si>
    <t>Esta energía despierta la ambición, promueve el crecimiento, la confianza y el entusiasmo. Te hace sentir más activo, creativo y ayuda a reconstruir y rediseñar tu vida. Ideal para iniciar un negocio, una expansión de la compañía o empezar un nuevo empleo.</t>
  </si>
  <si>
    <t>Estas personas superficialmente se ven confiables, simpáticas, claras, decididas, autoritarias y detallistas. Deben trabajar y aprender a ser responsables, a convertirse en líderes, a dirigir personas y a convivir y fluir en equipo. Se aprecian correctas, formales, intachables y elegantes. profesionalmente son organizados, profundas, analíticas, serias y muy responsables.</t>
  </si>
  <si>
    <t>Estas personas se ven amables, cariñosas, divertidas, independientes e irresponsables. Su vida se verá fortalecida si aprenden a se responsables, decididas, amables, compasivas y pacientes con los demás. Deben fortalecer su espiritualidad. Se perciben carismáticas, glamorosas, elegantes, estilizadas y suaves. En su aspecto de trabajo se manifiestan decididas en lo que quieren, logran lo que se proponen. Se motivan financieramente.</t>
  </si>
  <si>
    <t>Cuadrado Mágico de                               Lo Shu</t>
  </si>
  <si>
    <t>Isadora Duncan, Emily Bronte Marilyn Monroe, Robespierre, San Francisco de Asís, Ho Chi Min Luis XIV, Carlos Marx, Eisenhower, Bolívar, De Gaulle, Beethoven, Marco Polo, Tiberio César, Charles Lindberg, Alee Guinness, Olof Palme, Miguel Boyer Robería Flack, Jane Seymur, Isabel Preysler, Raúl Alfonsin, Javier Clemente, Jerry Lewis, Rudolf Nuriev KarI Malden, Guillermo Timoner, Duquesa de Alba, Octavio Paz, Marguerite Duras, Isabel II de Inglaterra, Stevie Wonder, Lili Palmer, María Dolores Pradera, Klaus Kinski, Reina Sofía de España.</t>
  </si>
  <si>
    <t>Fidel Castro, la Reina Victoria, Stalin, Catalina de Medeci, Martin Luther King, Confucio, María Antonieta, Eva Perón, Pirandello, Albert Einstein, Orson Welles, Arthur Miller, Stendhal, George Simenon, Cary Grant, Jean Moreau, Sidney Poitier, Harry Belafonte, James Caan, Francis Ford Coppola, Gary Kasparov, Claudia Lardmale, Ian Gibson, Anthony Quinn, Sydney Rome, Anatoli Karpov, Bob Hope, Gina Lollobrigida, Janet Leigh, Peter Falk, Günter Grass, Eli Wallach, Frank Sinatra.</t>
  </si>
  <si>
    <t>Al mismo tiempo resultan bastante independientes de hecho son las que necesitan con mayor intensidad actuar con completa autonomía. No acostumbran a prestar atención a los consejos ajenos debido a que prefieren actuar por su cuenta. En el caso de que alguien se obstine en convencerles "pasarán" olímpicamente. Disponen de un fuerte temperamento y llegan a chocar apasionadamente en sus relaciones sociales y laborales. Lo bueno es que olvidan con facilidad las ofensas al desconocer el rencor. Resultan impacientes y, en ocasiones dicen cosas de las que luego se arrepienten. Disponen de unas dosis importantes de tranquilidad. Se hallan bien dotados para la política, las finanzas y el trabajo en general. Sin embargo, se comportan de una forma imprevisible y sus cambios son casi permanentes. En sus relaciones con el sexo opuesto muestran debilidad.</t>
  </si>
  <si>
    <t>Combinación Negativa</t>
  </si>
  <si>
    <r>
      <t xml:space="preserve">Ratas Impetuosas pero irresponsables Aunque buenas para improvisar y llamar la atención de todo el mundo. Buenos actores y artistas. Caballos tendientes a sufrir déficit de atención y neurosis, pero excelentes actores y videntes. </t>
    </r>
    <r>
      <rPr>
        <b/>
        <sz val="10"/>
        <rFont val="Arial"/>
        <family val="2"/>
      </rPr>
      <t>Sufre mucho de neurosis.</t>
    </r>
  </si>
  <si>
    <t>INCOMPATIBILIDADES</t>
  </si>
  <si>
    <r>
      <t xml:space="preserve">Tigres juguetones y alegres. Dados a los placeres pero irresponsables y con tendencia a retar a las autoridades y buscar escapes ilegales. Monos idealistas fieros y responsables, muchas veces más ambiciosos de lo que la sociedad puede soportar. Maestros del engaño. </t>
    </r>
    <r>
      <rPr>
        <b/>
        <sz val="10"/>
        <rFont val="Arial"/>
        <family val="2"/>
      </rPr>
      <t>Irresponsables y reyes del engaño.</t>
    </r>
  </si>
  <si>
    <r>
      <t xml:space="preserve">Conejos obstinados y de mal humor, pueden llegar a ser autocríticos hasta el exceso pero muy disciplinados. Gallos relajados menos agresivos con la familia y más diplomáticos, pero fuerte tendencia a mantenerse solteros y rodeados de gatos. </t>
    </r>
    <r>
      <rPr>
        <b/>
        <sz val="10"/>
        <rFont val="Arial"/>
        <family val="2"/>
      </rPr>
      <t>Disciplina contra ligereza y mimo.</t>
    </r>
  </si>
  <si>
    <r>
      <t>Búfalos sensibles y excelentes amantes más propensos a escuchar antes de actuar, pero a veces flojos y poco ambiciosos. Cabras responsables y disciplinadas, más dadas a trabajar arduamente pero violentas, pero pueden reaccionar a golpes.</t>
    </r>
    <r>
      <rPr>
        <b/>
        <sz val="10"/>
        <rFont val="Arial"/>
        <family val="2"/>
      </rPr>
      <t xml:space="preserve"> Distanciamiento y choques.</t>
    </r>
  </si>
  <si>
    <t>Son personas que se caracterizan por su pensamiento creativo, son originales, locos, soñadores e independientes, se comunican de las formas más inesperadas, son detallistas, persuasivos, persistentes, suaves, jamás se enfrentan a los demás o los confrontan con agresión. En sus sentimientos y emociones son personas muy románticas, sensibles y soñadoras.</t>
  </si>
  <si>
    <t>El carácter de estas personas es extremistas, sin medias tintas, blanco o negro, funcionales, prácticos, decididos, claros. Se comunican de manera clara, firme, fuerte y convincente. En sus emociones son volubles y siempre buscan ser el centro de atención, necesitan del reconocimiento público.</t>
  </si>
  <si>
    <t>Estas personas se caracterizan por tener ideas y pensamientos organizados, decisivos e intuitivos. Cuando se comunican se manifiestan honestamente, con mucha cautela y respeto al hablar. Sus emociones, son muy controladas y retraidas. Dificilmente dicien lo que sienten y controlan sus sentimientos. A veces dan la apariencia de insensibilidad y dureza</t>
  </si>
  <si>
    <t>A estas personas les caracteriza el tener metas e ideas muy firmes y claras; estilizadas, se comunican afectuosamente, son divertidas, entretenidas y juguetonas. Se divierten con el amor, se ilusionan con gran facilidad, por lo que se deprimen y desilucionan constantemente. Esperan demasiado de los demás en su aspecto emocional.</t>
  </si>
  <si>
    <t>A estas personas se les caracteriza porque su manera de pensar y actuar es competitiva, impulsiva. Tienen ideas, rápidas e inteligentes. Son personas listas y cuando se comunican lo hacen claramente, son convincentes y decididas. A veces son "necias". En sus emociones siempre están alertas y pendientes de lo que sucede a su alrededor. Son frágiles y variables. Se manifiestan inestables para protegerse.</t>
  </si>
  <si>
    <t xml:space="preserve">Su trigrama es Chien, que significa cielo, su energía es yang y representa al padre. Es extremadamente fuerte, tiene la fuerza del cielo y toda su energía yang, lo que le da cualidades de liderazgo. Dominan y conquistan. Tienen grandes ideales, son ambiciosos y ególatras. Muy activos, odian perder, son muy críticos consigo mismos y materialistas, el exceso los puede llevar a la necedad. Muy detallistas y organizados, se desesperan con facilidad cuando las cosas no salen como ellos esperan. Son autoritarios, duros, inflexibles, moralistas, directos; buscan la nobleza, la simplicidad y el glamour. Son racionales, cuidadosos, dedicados, rígidos y perfeccionistas; no soportan las críticas. Resaltan los valores familiares y admiran y profesan la lealtad. Son muy trabajadores y tenaces; siempre buscan el liderazgo, incluso en sus relaciones sentimentales, en las que buscan durabilidad y profundidad. Son muy exigentes consigo mismos en sus sentimientos y, llevados al exceso, pueden ser machistas o excesivamente dominantes y duros. 
</t>
  </si>
  <si>
    <t>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t>
  </si>
  <si>
    <t>NOMBRE</t>
  </si>
  <si>
    <t>Fecha Nacimiento</t>
  </si>
  <si>
    <t>Día</t>
  </si>
  <si>
    <t>Mes</t>
  </si>
  <si>
    <t>Año</t>
  </si>
  <si>
    <t>ESTE NUMERO  ES TU PRIMERA ESTRELLA Y REPRESENTA TU NATURALEZA Y ESENCIA COMO SER HUMANO</t>
  </si>
  <si>
    <t>ESTE NUMERO  ES TU SEGUNDA ESTRELLA Y REPRESENTA TU CARÁCTER COMO SER HUMANO</t>
  </si>
  <si>
    <t>ESTE NUMERO  ES TU TERCER ESTRELLA Y REPRESENTA TU MISIÓN EN LA VIDA Y LOS ASPECTOS QUE DEBES TRABAJAR</t>
  </si>
  <si>
    <t>SE</t>
  </si>
  <si>
    <t>SSE</t>
  </si>
  <si>
    <t>S</t>
  </si>
  <si>
    <t>SSW</t>
  </si>
  <si>
    <t>SW</t>
  </si>
  <si>
    <t>SEE</t>
  </si>
  <si>
    <t>SWW</t>
  </si>
  <si>
    <t>E</t>
  </si>
  <si>
    <t>W</t>
  </si>
  <si>
    <t>NEE</t>
  </si>
  <si>
    <t>NWW</t>
  </si>
  <si>
    <t>NE</t>
  </si>
  <si>
    <t>NNE</t>
  </si>
  <si>
    <t>N</t>
  </si>
  <si>
    <t>NNW</t>
  </si>
  <si>
    <t>NW</t>
  </si>
  <si>
    <t>2Tierra</t>
  </si>
  <si>
    <t>3Madera</t>
  </si>
  <si>
    <t>4Madera</t>
  </si>
  <si>
    <t>5Tierra Media</t>
  </si>
  <si>
    <t>6Viento</t>
  </si>
  <si>
    <t>7Agua</t>
  </si>
  <si>
    <t>8Montaña</t>
  </si>
  <si>
    <t>9Fuego</t>
  </si>
  <si>
    <t xml:space="preserve">Su trigrama es Kun y su energía es yin; este trigrama representa a la madre, es receptivo y maternal. Suave como la arena, con un fuerte servicio de deseo y cuidado. No tienden a ser líderes, pero son excelentes como soporte de cualquier persona. Son tranquilos, pacientes, compasivos y amorosos, tienen una gran actitud de servicio y cooperación. Extremadamente sociables, buscan formar parte de grupos o personas que los guíen para no sentirse solos o perdidos. También buscan la estabilidad y el realismo y son muy detallistas, al punto de desesperar a quienes los rodean. Son hogareños y sobre protectores: Maestros de la diplomacia y las buenas relaciones, son excelentes servidores de la humanidad y el trabajo social. También necesitan tiempo para nutrirse a sí mismos; su gran capacidad de dar a los demás los puede desgastar. Su naturaleza es convencional y conservadora, amable y placentera, son un poco indecisos y obsesivos con detalles. Su naturaleza es convencional y conservadora, amable y placentera, son un poco indecisos y obsesivos con detalles. Excelentes Doctores, trabajadores </t>
  </si>
  <si>
    <t>Su trigrama es Chen y significa trueno, representa el hermano mayor y su energía es yang. Este trigrama simboliza el crecimiento y acción, así es el trueno, fuerte decidido, rápido, de movimientos drásticos, espontaneidad de actuar antes de pensar. Son personas impulsivas, enérgicas, decididas, ruidosas, inquietas; constantemente cometen errores, por su impulsividad. Tienen mucha vitalidad y energía son optimistas y posesivos, no terminan lo que comienzan y dejan la responsabilidad en otros; son cambiantes e inestables,abiertos  y honestos, directos e impositivos, al hablar vigorosos físicamente y demasiado francos con sus familiares y amigos. Generalmente son atléticos y de cuerpos fuertes y altos, Son muy creativos, son innovadores e inventores, soñadores precoces y consentidos, caprichosos, viríles y simpáticos. Se aburren con facilidad, no se caracterizan por ser maduros y objetivos. Son excelentes creativos, deportistas, constructores, ingenieros, músicos, cirujanos, oradores.</t>
  </si>
  <si>
    <t>ESTA ES TU NATURALEZA Y ESENCIA COMO SER HUMANO</t>
  </si>
  <si>
    <t>ESTE ES TU CARÁCTER COMO SER HUMANO</t>
  </si>
  <si>
    <t>ESTA ES TU MISIÓN EN LA VIDA Y LOS ASPECTOS QUE DEBES TRABAJAR</t>
  </si>
  <si>
    <t xml:space="preserve">Lo primordial es que son enérgicos y disfrutan de una excelente salud en la mayor parte de su existencia. En los países asiáticos se cree que a los nativos de este signo les acompañan la prosperidad y una larga vida. Tal vez por el hecho de que suelen dedicar sus energías a objetivos idealistas y se hallan capacitados para hacer frente a los trabajos más complicados, en todos los cuales obtendrán el éxito. Pero tienden a excitarse en demasía y a hablar más de lo aconsejable en el mundo social. En ocasiones se preocupan obsesivamente por motivos absurdos y resultan exigentes. Son detallistas, inteligentes, tenaces, complacientes y generosos. Las mejores carreras para ellos tienen que hallarse relacionadas con el arte. la religión, la milicia, la medicina y la política. </t>
  </si>
  <si>
    <t xml:space="preserve">Prefieren vivir de su ingenio que del trabajo práctico. Lo malo es que el dinero les quema en las manos: sin embargo, no lo derrochan. Sienten una predisposición especial a lo intelectual, son sentimentales y muy generosas con las personas que aman. Son compatibles con casi todos los animales del Horóscopo Chino, excepto el caballo —sólo afecta a los hombres que intenten unirse al caballo mujer—. </t>
  </si>
  <si>
    <t xml:space="preserve">Sus oficios y carreras preferidas son los negocios, la contrata de todo tipo y la diplomacia. Dado que son inteligentes y hábiles con las manos podrían llegar a ser cirujanos. También sirven para viajar, siempre que su salud no presente altibajos. </t>
  </si>
  <si>
    <t>Resultan poco habladores porque prefieren meditar sus opiniones y no precipitarse en las respuestas aunque se les apremie. Llegan al éxito sin tener que desarrollar un gran esfuerzo, sin que importe el objetivo o la materia que estén tocando. Tardan en enfurecerse: sin embargo, cuando esto sucede, estallan violentamente. Son observadores y tienden a buscar la soledad. Los ideales pueden arrastrarles hasta el fanatismo. La pasión que sienten por la unidad y el sentido clásico de la familia es en ellos una cuestión primordial. En los conflictos de tipo laboral no "aguantan un pelo", y hasta llegan a resultar altamente peligrosos. Detestan cualquier forma de modernismo, y mucho más si aparece en su hogar. Si algo así ocurriera habría algo más que palabras por parte de los búfalo es...Los búfalo es son personas cordiales y pacientes, que corren el peligro de ser consideradas algo excéntricas.</t>
  </si>
  <si>
    <t>La gente nacida en el año del conejo es articulada, talentosa, y ambiciosa. Ella es virtuosa, reservada, y tiene gusto excelente. Admiran, confiada en, y es a menudo financieramente afortunada a la gente del conejo. Ella está encariñada con chisme pero es discreta y generalmente buena. La gente del conejo pierde raramente su genio. El es listo en el negocio y siendo concienzudo, nunca retírese de un contrato. Ella haría a buenos jugadores para ella tiene el regalo uncanny de elegir la cosa derecha. Sin embargo, juegan raramente, pues son conservadores y sabios. Son la más compatible con ésa nacida en los años de las ovejas, del Jabalí, y del perro. Los nacidos en el año del gato hablan con elocuencia y disponen de las palabras para convencer a los demás con facilidad sin que ello vaya en contra de</t>
  </si>
  <si>
    <t>Personajes Jabalí</t>
  </si>
  <si>
    <t>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t>
  </si>
  <si>
    <t>En personalidad, ambos son suaves y agradables; evaden las confrontaciones y buscan la armonía.</t>
  </si>
  <si>
    <t>En el número energético, ambos aprecian sus cualidades, las destacan y se inspiran para cristalizar sus deseos.</t>
  </si>
  <si>
    <t>En personalidad, ambos se inspiran y se apoyan con su característica actitud de madurez hacia la vida, son respetuosos y admiradores de los valores propios de cada uno.</t>
  </si>
  <si>
    <t>En número energético, ambos comparten la sensatez y la objetividad para lograr de manera ordenada y disciplinada sus planes e ideales.</t>
  </si>
  <si>
    <t>En carácter ambos son suaves y se apoyan mutuamente, prefieren dialogar y evaden  los conflictos y discusiones.</t>
  </si>
  <si>
    <t>En personalidad comparten su naturaleza ambiciosa y activa. Disfrutan de la aventura y la acción.</t>
  </si>
  <si>
    <t>En número energético ambos disfrutan de su entusiasmo y positivismo. Se apoyan para lograr sus metas e idean los planes más creativos y locos.</t>
  </si>
  <si>
    <t xml:space="preserve">Son excelentes árbitros y mediadores, artistas y abogados, escritores, poetas, compositores, músicos, filósofos e incluso terapeutas. Tienen Ia cualidad interna de buscar el balance constante en los argumentos y las situaciones. Todo tipo de actividad que involucre el manejo de líquidos es favorable para estas personas. Por su profunda capacidad de análisis y pensamiento, tienden a ser personas calladas y a veces aisladas; tienen mentalidades que trascienden el tiempo, relajadas y receptivas; son personas espirituales, creativas y universales. Su salud esta ligada a todo lo que Se refiere a líquidos en el cuerpo humano: riñones, órganos sexuales, vejiga, huesos y sistema nervioso. Son personas flexibles, sencillas, adaptables, receptivas, enigmáticas, poco románticas pero con mucha fuerza sexual y apasionados. La sexualidad es un aspecto muy importante para ellos, ya que es un rnedio de aprendizaje de si mismos y su pasión puede llegar a ser muy fuerte. Buscan conjuntar varias formas de placer sexual, por lo que suelen ser extremadamente posesivos. Generalmente tienen mirada profunda y </t>
  </si>
  <si>
    <t>EL KI DE LAS NUEVE ESTRELLAS</t>
  </si>
  <si>
    <t>Signo</t>
  </si>
  <si>
    <t>De</t>
  </si>
  <si>
    <t>Hasta</t>
  </si>
  <si>
    <t>Elemento</t>
  </si>
  <si>
    <t>Dia</t>
  </si>
  <si>
    <t>Rata</t>
  </si>
  <si>
    <t>Enero</t>
  </si>
  <si>
    <t>Metal</t>
  </si>
  <si>
    <t>Febrero</t>
  </si>
  <si>
    <t>Tigre</t>
  </si>
  <si>
    <t>Agua</t>
  </si>
  <si>
    <t>Conejo</t>
  </si>
  <si>
    <t>Madera</t>
  </si>
  <si>
    <t>Serpiente</t>
  </si>
  <si>
    <t>Caballo</t>
  </si>
  <si>
    <t>Fuego</t>
  </si>
  <si>
    <t>Mono</t>
  </si>
  <si>
    <t>Tierra</t>
  </si>
  <si>
    <t>Gallo</t>
  </si>
  <si>
    <t>Perro</t>
  </si>
  <si>
    <t>Dragón</t>
  </si>
  <si>
    <t>Personas de apariencia tranquila pero dura y fuerte, lucen organizadas, detallistas y analíticas: Deben aprende a simplificar las cosas y a no ser obsesivas, cultivar la introspección y confiar en su intuición. Su imagen es fuerte, directa, impositiva, dominante y de caracter fuerte. En el trabajo son alegres, perseverantes y muy competitivas.</t>
  </si>
  <si>
    <t>Personas que se ven atractivas, elegantes y ostentosas. Su camino se fortalecerá si aprenden a poner los pies sobre la tierra, a ser profundas, a terminar lo que comienzan, a ser compasivas, a compartir, amar, guiar y enseñar a los demás. La primera impresión que dan es de ser sociables, inteligentes, brillantes, arrogantes, distinguidas y notables. Profesionalmente son emotivas, sentimentales, vicerales; cuidan su reputación e imagen pública.</t>
  </si>
  <si>
    <r>
      <t>1</t>
    </r>
    <r>
      <rPr>
        <b/>
        <sz val="48"/>
        <rFont val="Wingdings"/>
        <charset val="2"/>
      </rPr>
      <t>«</t>
    </r>
  </si>
  <si>
    <r>
      <t>2</t>
    </r>
    <r>
      <rPr>
        <b/>
        <sz val="48"/>
        <rFont val="Wingdings"/>
        <charset val="2"/>
      </rPr>
      <t>«</t>
    </r>
  </si>
  <si>
    <r>
      <t>3</t>
    </r>
    <r>
      <rPr>
        <b/>
        <sz val="48"/>
        <rFont val="Wingdings"/>
        <charset val="2"/>
      </rPr>
      <t>«</t>
    </r>
  </si>
  <si>
    <t xml:space="preserve">1Agua </t>
  </si>
  <si>
    <t>En personalidad son potencialmente armoniosos, si ambos logran dedicarse a los aspectos que para cada uno son importantes.</t>
  </si>
  <si>
    <t>En personalidad el éxito radica en que comparten su amor por el desarrollo profesional y el éxito económico.</t>
  </si>
  <si>
    <t>En carácter representan una combinación dura, directa, clara. No les gusta disfrazar la verdad y tienen por emblema la tenacidad.</t>
  </si>
  <si>
    <t>En el número energético son una buena combinación de éxito profesional y logros energéticos.</t>
  </si>
  <si>
    <t>En carácter son grandes impulsores de los anhelos y logros que comparten y obtienen.</t>
  </si>
  <si>
    <t>En el número energético, disfrutan de sus gustos, de buenas reuniones, de la elegancia y del glamour.</t>
  </si>
  <si>
    <t>En personalidad representan y simbolizan prosperidad. Son una poderosa combinación capaz de construir grandes y sólidas empresas.</t>
  </si>
  <si>
    <t>En el número energético son una pareja jovial que disfruta de la vida hogareña y las buenas reuniones.</t>
  </si>
  <si>
    <t>George Sand, Shakespeare, Tolstoi, Julio Verne, Daniel Defoe, Charlotte Bronte, Antoine de Saint Exupery, Daudet, Louis Amstrong, Mozart, Maurice Chevalier, Loretta Young, Richard Nixon, Oanny Kaye, Lola Flores, Telly Savalas, Natasha Kinski, Paul Newman, Vanessa Redgrave, Jack Lemmon, Robert AItman, Niki Lauda, Ivan LendI, Antonio Mercero, Mario Vargas Llosa, Marión Brando, Doris Day, Glenda Jackson, Charles Aznavour, Virna Lisi, Gene Kelly, Richard Gere, Laureen Bacall, Marcello Mastroianni, Jimmy Cárter, Antonio Gala, Charlton Heston.</t>
  </si>
  <si>
    <t>Adolf Hitler, Emiliano Zapata, Jerónimo, Clemenceau, Napoleón, Lafayette, Nehru, Luis XIII, Ricardo Corazón de León, Marquesa de Pompadour, Van Gogh, Jean Cocteau, Rubens, Charlie Chaplin, Dante, Richard Burton, Juan Sebastián Bach, Jane Wyman, Juan Carlos I, Valéry Giscard d\'Estaing, Juliette Greco, Warren Beatty, Rod Steiger, Ayatola Jomeini, Emperador Hiro-Hito, Stewart Granger, Peter Cushing, Tony Curtis, Meryl Streep, Jesús Hermida, Cari Lewis, Dustin Hoffman, Robert Redtord, Cfiff Robertson, Bruce Springsteen, José Sacristán, Stanlev Kramer, Truman Capote, Margaret Thatcher, Melina Mercoun, Burt Lancaster, Redy Lamarr, Nadia Comaneci, Carmen Martín Gaite, Willy Brandt, Jane Fonda, Marlene Dietrich.</t>
  </si>
  <si>
    <t>Simbolo de su Horóscopo</t>
  </si>
  <si>
    <t>En personalidad ambos son hogareños y disfrutan de la buena comida y del ambiente de casa. Comparten gustos e intereses.</t>
  </si>
  <si>
    <t>agua</t>
  </si>
  <si>
    <t>tierra</t>
  </si>
  <si>
    <t>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t>
  </si>
  <si>
    <t>madera</t>
  </si>
  <si>
    <t>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t>
  </si>
  <si>
    <t>metal</t>
  </si>
  <si>
    <t>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t>
  </si>
  <si>
    <t>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t>
  </si>
  <si>
    <t>fuego</t>
  </si>
  <si>
    <t>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t>
  </si>
  <si>
    <t>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t>
  </si>
  <si>
    <t>su idea de no querer herir los sentimientos ajenos Resulta casi imposible que pierdan el control de sí mismos y son ambiciosos y muy precavidos. Sus vidas acostumbran a ser domésticas placenteras y refinadas, Sienten una afición a acumulan conocimientos, pero se muestran excesivamente superficiales a la hora de asimilarlos. Bastantes veces caen en la pedantería, sin que se den cuenta de ello. Pueden llegar a apasionarse peligrosamente por el juego, aunque saben retirarse cuando la situación bordea al drama. Su peor rival es la melancolía. Les atrae la gente, lucen en las asambleas y "las gozan" en compañía de muchas amistades. Pero son superficiales. Aguantan lo indecible antes de disgustarse, porque su naturaleza les ha hecho pacíficos. Su meta es vivir tranquilamente, sin altibajos de ninguna clase Algo que no les sucede a las mujeres gato cuando se ponen tercas, claro que saben como transformar esta aparente debilidad en un arma de seducción.</t>
  </si>
  <si>
    <t>La gente nacida en el año del dragón es sana, enérgia, excitable, templado, y obstinado. Ella es también honesta, sensible, valiente, y ella inspira confianza y confía en. La gente del dragón es la más excéntrica de cualesquiera en el zodiaco del este. Ella ni pide prestado el dinero ni hace discursos floridos, pero ella tiende para ser suave-hearted que a veces da a otros una ventaja sobre ellos. El es compatible con las ratas, las serpientes, los monos, y los gallos. Los seres humanos nacidos bajo la influencia del año dragón son honestos, cuentan con una buena provisión de coraje y pueden considerarse unos héroes. Pero no todo lo que brilla es oro.  Para alcanzar esa categoría tienen que limar todos los defectos que ya iremos enumerando.</t>
  </si>
  <si>
    <t>Es una relación basada en la atracción, el fuelgo es demasiado rápidoy acelerado para la profundidad del agua. Debe trabajarse la comunicación y establecer reglas para que funcione.</t>
  </si>
  <si>
    <t>Esta relación carece de pasión. sin embargo puede estar llena de ternura si la tierra hace a un lado su egoismo y piensa en las necesidades de agua</t>
  </si>
  <si>
    <t>Es una buena combinación de apoyo y entendimiento, capaces de expresar en su sexualidad sus más profundos sentimientos, sin arranques de pasión y sin hablar.</t>
  </si>
  <si>
    <t>En estas personas su imagen es fuerte, decidida, parecen saber lo que hacen y tener mucha experiencia; se ven sociables y relacionadas con todas las personas que lo rodean. Deben aprender a confiar en los demás a ser contemplativos y escuchar a sus semejantes. se ven como personas toscas, rudas, dominantes, decididas e intimidan a los demás. Potencialmente duras, su imagen es fuerte. En su trabajo son notables, destacan y son influenciables.</t>
  </si>
  <si>
    <t>DÍAS</t>
  </si>
  <si>
    <t>La gente nacida en el año del mono son los genios erráticos del ciclo. Son listas, expertas, y flexibles, ellas tienen notable inventiva y originalidad y puede solucionar los problemas más difíciles con facilidad. Hay pocos campos en los cuales la gente del mono no sea acertada pero tienen el hábito desconcertante de ser demasiado conforme. Esta gente desea ahora hacer cosas, y si no pueden conseguir comenzarlas inmediatamente, se desalientan y dejan a veces sus proyectos. Aunque son buenos en tomar decisiones, dudan y tienden a mirar abajo en otras. Tienen sentido común, y la gente del mono tienen un deseo profundo para el conocimiento y tienen memoria excelente. La gente del mono se enamora fácilmente y se enoja explosivamente pero su cólera se refresca rápidamente. Y son más compatibles con el dragón y la rata.</t>
  </si>
  <si>
    <t>Es una dirección recomendada cuando quieres controlar tu vida, tus proyectos: Si sientes que necesitas establecer reglas y parámetros, el noreste favorecerá el establecerte, el analizar con lógica y frialdad las situaciones. Es una energía de consolidación, honorabilidad y respeto.</t>
  </si>
  <si>
    <t>Es una dirección de motivación, estructuración consolidación planeación, aclarar ideas. Sirve para dar giros y cambios a nuestra vida, ideal para los romances pasajeros.</t>
  </si>
  <si>
    <t>Esta dirección atraerá fiesta, alegría, reconocimiento, pasión, emoción y diversión a nuestra vida. Es ideal para recibir reconocimiento y premios, expresarte y brillar socialmente. Muy adecuada para la actuación. Sirve para reforzar el aspecto social.</t>
  </si>
  <si>
    <t>Es la energía que te permite disfrutar de la vida, el glamour, el romance, el matrimonio, la elegancia, la distinción y la tranquilidad económica. Es muy recomendable cuando deseas componer o arreglar tu situación financiera.</t>
  </si>
  <si>
    <t>Evita viajar, no salir, no desplazarse, es momento de hibernar.</t>
  </si>
  <si>
    <t>Dirección de tu número de Personalidad</t>
  </si>
  <si>
    <t>En personalidad son creativos y soñadores. Ambos disfrutan compartir sus sueños, planes e ideas. Disfrutan de las fiestas y la diversión.</t>
  </si>
  <si>
    <t>En carácter disfrutan de la compañía mutua, de su franqueza, sensación de libertad y frescura, así como compartir el sentido del humor.</t>
  </si>
  <si>
    <t>En el número energético, forman una combinación amable, llevan una relación de cooperación, franqueza y mutuo apoyo.</t>
  </si>
  <si>
    <t xml:space="preserve">soñadora, con cabras a veces oscuras, y deben cuidarse mucho de los resfríos. Deben dormir y descansar mucho y mantener su estómago caliente, cuidar mucho sus órganos sexuales, así como la vejiga y los riñones. En el aspecto negativo, generalmente son personas inseguras, se preocupan en exceso por las cosas y las situaciones, se angustian por evitar y causar problemas; son evasivas, no demuestran lo que sienten. Abiertos y honestos, directos e impositivos al hablar, vigorosos físicamente y demasiado francos con sus familiares y amigos. Generalmente son atléticos y de cuerpos fuertes y altos. Son muy creativos, son innovadores e inventores, soñadores, precoces y consentidos, caprichosos, viriles simpáticos. Se aburren con facilidad, no se caracterizan por ser muy maduros y objetivos. Son excelentes creativos, deportistas, constructores, ingenieros, músicos, cirujanos, oradores. En la salud deben tener cuidado con las úlceras, tumores, el hígado, la digestión, las fobias, el exceso de estrés, problemas visuales y del cuello. En el aspecto sentimental son muy vanidosos y se preocupan </t>
  </si>
  <si>
    <t>En personalidad unen fuerzas y pueden ser perseverantes para lograr que  los proyectos y la relación salgan adelante.</t>
  </si>
  <si>
    <t>NO SE PUEDE VALUAR LA RELACIÓN DE PAREJA PORQUE NO SE DIO LA INFORMACIÓN DE LA MISMA.</t>
  </si>
  <si>
    <r>
      <t xml:space="preserve">Dragones inteligentes al extremo, pero propenso a tener hijos en la adolescencia. Muy desordenados. Perros más espirituales, menos obsesionados y curiosos, pero pueden llegar a ser irresponsables en la familia. Independientes y elitistas. </t>
    </r>
    <r>
      <rPr>
        <b/>
        <sz val="10"/>
        <rFont val="Arial"/>
        <family val="2"/>
      </rPr>
      <t>Sumamente desordenados e irresponsables</t>
    </r>
  </si>
  <si>
    <t>Combinación</t>
  </si>
  <si>
    <t>Ki de la Pareja</t>
  </si>
  <si>
    <r>
      <t>1</t>
    </r>
    <r>
      <rPr>
        <b/>
        <sz val="10"/>
        <rFont val="Wingdings"/>
        <charset val="2"/>
      </rPr>
      <t>«</t>
    </r>
  </si>
  <si>
    <r>
      <t>2</t>
    </r>
    <r>
      <rPr>
        <b/>
        <sz val="10"/>
        <rFont val="Wingdings"/>
        <charset val="2"/>
      </rPr>
      <t>«</t>
    </r>
  </si>
  <si>
    <r>
      <t>3</t>
    </r>
    <r>
      <rPr>
        <b/>
        <sz val="10"/>
        <rFont val="Wingdings"/>
        <charset val="2"/>
      </rPr>
      <t>«</t>
    </r>
  </si>
  <si>
    <t>CUADRADO MÁGICO DE LO SHU</t>
  </si>
  <si>
    <t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t>
  </si>
  <si>
    <t xml:space="preserve">Su trigrama es Sun y significa viento; su energía es yin y representa a la hermana mayor. Su aspecto yin, a diferencia del 3Madera, les da un aspecto estable, tranquilo, suave. Su naturaleza es tan suave que necesitan el soporte de sus raíces de madera. En su aspecto negativo, el exceso de aire los puede convertir en un huracán destructivo e incontrolable cuando se alteran. Son muy sensibles, confiables, seguros y prácticos. Su sentido común es característico, así como su sensatez y sensibilidad hacia los demás. Son excelentes consejeros, pero muy influenciables dada su naturaleza volátil; son crédulos y confiados, manipuladores y confidentes; excelentes oradores, políticos, líderes, planificadores, artistas, inventores y consejeros. Son personas decididas, individualistas, claras y muy estructuradas. Favorables en cuestiones de transportación, comunicación, dirección, guía, publicidad, agencias de viajes, fabricantes. 
</t>
  </si>
  <si>
    <t xml:space="preserve">Dejan las cosas para el último momento y confían en su sensatez, buena suerte y buen juicio. En el amor son idealistas, soñadores e ingenuos, muy atractivos para el sexo opuesto; son idealistas con sus parejas, cooperativos y luchan por sacar a flote una relación. En la salud deben tener cuidado de no caer en exceso de actividad; deben cuidar sus intestinos, la vesícula, el tejido conjuntivo y el hígado. Son excelentes publirrelacionistas, obedientes y muy atractivos. Se caracterizan por su mirada cautivadora. Respecto de sus rasgos negativos, son impulsivos y volubles, de emociones turbulentas, confusos, ideas no muy claras, e inescrupulosos. </t>
  </si>
  <si>
    <t xml:space="preserve">Son audaces y valientes, y piensan profundamente ante de emprender cualquier cosa. Disponen de una mente que supone toda una gama de colores. Su sensibilidad y ambición les lleva a comportarse en ocasiones con suspicacia y un cierto egoísmo. Son unos líderes natos a pesar de que suelen hacer caso a confidencias demasiado peligrosas. Son los primeros en lamentarse cuando realizan negocios, intervienen en contiendas y hasta en el amor y sexo. Procuran hallarse al margen en las cuestiones que no les afectan. Materialmente es imposible resistirles por su magnífico carácter y una autoridad natural. Los demás tienden a respetarlos automáticamente. Desean ser obedecidos, pero les desagrada obedecer. Se les considera obstinados, algo cabezotas y amigos de las discusiones Les atrae la cocina o cumplir el papel de ejecutivos. En especial buscan los trabajos más arriesgados. No les llama la atención el dinero ya que prefieren la acción. </t>
  </si>
  <si>
    <t>La gente nacida en el año del perro posee los mejores rasgos de la naturaleza humana. Ella tiene un sentido profundo de la lealtad, es honesta, e inspira la confianza de la gente porque ella sabe guardar secretos. Pero la gente del perro es algo egoísta, terrible obstinada, y excéntrico. Ella cuida poco para la abundancia, con todo se parece de alguna manera siempre tener dinero. Ella puede ser fría emocionalmente y a veces distante en los partidos. Pueden encontrar la avería con muchas cosas y se observan para sus lengüetas agudas. La gente del perro hace a buenos líderes. Ella es compatible con ésa nacida en los años del caballo, del tigre, y del conejo.</t>
  </si>
  <si>
    <t>sociales, maestros, enfermeros, agricultores,, arquitectos, jardineros y realizan actividades detallistas. Los caracteriza el orden, por lo que son recomendables como asistentes. Maravillosos anfitriones, se esfuerzan por el bien estar de sus invitados y personas que los rodean. En la salud deben de tener cuidado con las afecciones de la piel, la sangre, la lengua, la garganta, el estomago y el sistema digestivo. (en especial estreñimientos). Son personas de apariencia abrazable, apapachable y suave. Buscan la seguridad y la estabilidad por lo que se apegan demasiado a los objetos y personas que los rodean.En el aspecto sentimental, se esmeran por satisfacer a su pareja y proveerle seguridad y comodidad. Se preocupan demasiado y pueden llegar a ser obsesivos en los cuidados de su pareja.Son entregados, fieles y amorosos, llenan de atenciones a aquellas personas que gozan de su amor. En su aspecto negativo pueden ser muy dependientes de los demás, y con el sentido obsesivo que manifiestan, pueden perder a sus parejas, fomentando separaciones inesperadas y dolorosas para ellas.</t>
  </si>
  <si>
    <t>En la salud deben de tener cuidado con las úlceras, tumores, el hígado, la digestión las fobias, el exceso de estrés, problemas visuales y del cuello. En el aspecto sentimental son muy vanidosos y se preocupan excesivamente por su aspecto físico, les importa mucho el tacto y les gusta que los toquen, son amantes muy versátiles e intensos, son juguetones y no saben reprimir sus emociones. Son generosos e independientes, joviales y parlanchines. Sin embargo tambien pueden ser ambiciosos, independientes, violentos y agresivos, impredecibles, volubles y demasiado francos.</t>
  </si>
  <si>
    <t xml:space="preserve"> </t>
  </si>
  <si>
    <t>excesivamente por su aspecto físico, les importa mucho el tacto y les gusta que los toquen, son amantes muy versátiles e intensos, son juguetones y no saben reprimir sus emociones. Son generosos e independientes, joviales y parlanchines. Sin embargo también pueden ser ambiciosos, independientes, violentos y agresivos, impredecibles, volubles y demasiado francos.</t>
  </si>
  <si>
    <t>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t>
  </si>
  <si>
    <t>Son personas que se caracterizan por sus pensamientos e ideas metódicas, prácticas y realistas, que se comunican con tacto, cuidado y buscan ser comprendidas en todo. Sus sentimientos emociones son suaves, se preocupan por los demás y son sumamente amables.</t>
  </si>
  <si>
    <t>Son personas que se caracterizan por sus ideas precisas, claras objetivas, creativas y futuristas, siempre a la vanfguardia. Se comunican francamnete, directos y acertivos, odian dar vueltas a lo que se va a decir. Sus sentimientos son confiables, se emocionan e ilusionan fácilmente, son pasionales y entusiastas.</t>
  </si>
  <si>
    <t xml:space="preserve">Su trigrama es Tui, que significa lago, y representa a la hija menor. Su fuerza energética es yin lo que los convierte en personas tranquilas, con el potencial del agua, quieta y profunda. Son personas reflexivas, suaves, sensibles, encuentran su seguridad en la profundidad de sus sentimientos lo que les da una apariencia exterior de calina y tranquilidad. Simbolizan la alegría, son cariñosas, independientes, divertidos, excelente, para escuchar a los demás.  Tienen el sentido del buen gusto y tacto, excelentes diseñadores, creativos, estilizados, elegantes, reflexivos, excelentes para contabilizar y socializar.  Son expresivos y coloridos, buscadores de comodidad y placer. Disfrutan del buen gusto, la armonía v el comer y son buenos anfitriones.  Se ven más jóvenes de lo que son; carismáticos glamorosos y buenos consejeros. Son libres e independientes, excelentes exponentes, oradores, decoradores, modistas, contadores, consejeros, políticos, coordinadores de eventos sociales y fiestas. </t>
  </si>
  <si>
    <t>Odian ser ignorados. Saben evaluar, lo que los convierte en conciliadores. También son buenos dentistas, banqueros y distribuidores. En la salud deben cuidarse el pecho, la pelvis, la cabeza, la piel y los intestinos. En sus relaciones sentimentales son nostálgicos y sensuales, extremadamente sensuales y exquisitos. Enfatizan su propia belleza y buscan la calidad. Actúan con el corazón y les es difícil, casi imposible, decir no. En lo negativo son hedonistas, egoístas, arrogantes, volubles, irresponsables, cambiantes y nerviosos.</t>
  </si>
  <si>
    <t xml:space="preserve">La mejor cualidad de los nacidos en los años del perro es la honestidad. Son excelentes compañeros, gracias a que poseen una lealtad a toda prueba. Como necesitan darse y ser comprendidos, buscan en los demás estas dos condiciones. Jamás traicionarán una confidencia ni un palabra comprometida. Además acostumbran a mantenerse fríos en los peores momentos: cuando los otros corren, ellos conservan la calma y logran evitar la tragedia. Serían eficaces bomberos y socorristas. Debido a que inspiran una gran confianza, encuentran con facilidad a los colaboradores fieles y que seguirán todas las órdenes que reciban sin discutirlas. Son dignos cumplidores con la Justicia, aunque resulten poco tolerantes con los fallos de sus subalternos y de las personas que quieren. Llegan a ser muy duros en sus críticas, y resultan egoístas y muy testarudos. De una forma inesperada se hunden en grandes zonas de pesimismo. Leales, justos, respetuosos y con un sentido de la fidelidad a prueba de cualquier sacrificio. Serán muy felices con los caballos, pero con los tigres mantendrán unas batallas </t>
  </si>
  <si>
    <t xml:space="preserve">continuas. La paz y la serenidad junto a los gatos. En realidad los perros pueden ser industriales, capataces, críticos de espectáculos, educadores, sacerdotes, escritores, filósofos, pensadores, moralistas, jueces, magistrados, doctores, políticos, espías, intelectuales y, especialmente, unas personas invertidas de posición: es decir, a pesar de ser gentes de derechas funcionarían muy bien con las izquierdas. </t>
  </si>
  <si>
    <t xml:space="preserve"> Estos dos animales representarían la destrucción por agotamiento de los cerdos. Sus mejores carreras y oficios: de todo tipo de manufacturas, medicina, arquitectura, literatura, pintura, cualquier negocio, relaciones públicas, artista de variedades, payasos, comediantes. </t>
  </si>
  <si>
    <t>Personajes rata:</t>
  </si>
  <si>
    <t>Personajes tigre:</t>
  </si>
  <si>
    <t>Personajes Conejo (Gato):</t>
  </si>
  <si>
    <t>Personajes Dragón:</t>
  </si>
  <si>
    <t>Personajes Serpiente:</t>
  </si>
  <si>
    <t>Personajes Caballo:</t>
  </si>
  <si>
    <t>Personajes Cabra (Oveja):</t>
  </si>
  <si>
    <t>Personajes Mono:</t>
  </si>
  <si>
    <t>Personajes Gallo:</t>
  </si>
  <si>
    <t>Personajes Perro:</t>
  </si>
  <si>
    <t>La tierra yin a los monos, gallos y perros nacidos con este compañero de ruta, le será muy difícil encontrar pareja y más aún contraer matrimonio. Tampoco es conveniente nacer en esta hora porque así mismo puede hacerlos muy irresponsables. Pero para el Jabalí, el tigre, el conejo y la cabra misma nacer a esta hora les traerá buena suerte en el trabajo y en algunos casos pueden llegar hacer famosos.</t>
  </si>
  <si>
    <t>la belleza de la energía madera yin puede producir en este compañero de ruta grandes cualidades para la poesía, pero también, una gran tendencia al melodrama e irregularidades al convivir en sociedad. Esta hora resulta mejor si se nace bajo el signo del tigre, la rata, caballo, la cabra y el Jabalí, fatal para el búfalo, la serpiente y el perro, el resto de los signos sólo verán aumentada su capacidad como amantes.</t>
  </si>
  <si>
    <t>La madera yang dota de valor y belleza a  quien porte este compañero de ruta, pero también de agresividad y mal genio. La madera yang otorga a sí mismo capacidad para la actuación y las artes marciales es excelente nacer a la hora del tigre si eres rata, dragón, perro y caballo, pero resulta fatal para el  mono, el mismo tigre, el Jabalí y el gallo, haciéndolos cortos de escrúpulos y demasiado osados.</t>
  </si>
  <si>
    <t xml:space="preserve">Son precisos y exactos, poco expresivos pero muy leales y sinceros. Son excelentes administradores, políticos, militares economistas, modistas, industriales, abogados, joyeros, vendedores, saJabalítes, maestros, asesores y psiquiatras. En la salud deben cuidarse de las inflamaciones dolores de cabeza, problemas de la piel; asimismo poner atención en los pulmones, los huesos y el corazón. En su lado oscuro son tercos, fríos, inexpresivos, calculadores, egoístas, dominantes, rígidos, orgullosos e inflexibles. </t>
  </si>
  <si>
    <t>Ascendente o Compañero de Ruta</t>
  </si>
  <si>
    <t>de</t>
  </si>
  <si>
    <t>a</t>
  </si>
  <si>
    <t>Búfalo</t>
  </si>
  <si>
    <t>Cabra</t>
  </si>
  <si>
    <t>Compañero de Ruta</t>
  </si>
  <si>
    <t>Hora de Nacimiento</t>
  </si>
  <si>
    <t>A continuación les damos un mayor apoyo en función de los elementos en la relación con respecto al amor, al sexo y al romance en una relación sentimental.</t>
  </si>
  <si>
    <t>En personalidad ambos disfrutan de una combinación de seguridad y aventura, de alegría y diversión.</t>
  </si>
  <si>
    <t>En carácter comparten el amor a su espacio privado a la cultura y a la relajación. Pueden ser los mejores amigos o los peores enemigos.</t>
  </si>
  <si>
    <t>En el número energético ambos son personas que destacan y brillan a nivel público y social, deben cuidar en no caer en rivalidades.</t>
  </si>
  <si>
    <t>En el número energético son una combinación muy poderosa. Impresionan con su imagen de prestigio, poder y seguridad.</t>
  </si>
  <si>
    <t>En el número energético nos muestra a dos personas fáciles de entender y de adaptarse objetivamente a las circunstancias y a las situaciones.</t>
  </si>
  <si>
    <t>En el número energético, a pesar de ser opuestos, puedan salir adelante uniendo sus cualidades para formar un equipo.</t>
  </si>
  <si>
    <t>Los nacidos en el año del gallo se encuentran repletos de fuego y de entusiasmo. Son extrovertidos y solitarios. No tienen reparos en decir lo primero que les pasa por la cabeza debido a su espontaneidad y a que les duele guardar una respuesta. Como el trabajo les entusiasma, se encuentran siempre ocupados. Suelen echarse sobre los hombros más tareas de las que pueden realizar. Se notan hondamente frustrados al comprobar que no pueden conseguir sus fines y tienen poca confianza en las personas que les rodean, debido a que se creen poseedores de la verdad y de la solución más eficaz para cada problema. Son agresivos, bastante conservadores y egoístas en exceso. Aman el hecho de soñar, meditar y construir castillos en el aire. Se ven como héroes y son todo un espectáculo fuera del corral. Es posible que si se le presenta la ocasión realicen lo que dicen, por ejemplo, demostrar su valentía, pero lo normal es que exageren en su versión de los hechos. Los gallos están bien dispuestos para las tareas agrícolas y para todas aquellas profesiones que exijan permanecer en contacto con las gentes.</t>
  </si>
  <si>
    <t xml:space="preserve">Esta combinación en el número personal nos habla de una excelente relación de amistad y compañerismo, que puede correr el riesgo de convertirse en enemistad y conflictos, si ambos no encuentran algo que los sustente, lo cual puede corregirse incorporando elemento metal en la decoración de su recámara o casa.                                                                                                                                                                                                                                                                                                                                                                                                                                                                                                                                                                                                                                                                                                                                                                                                                                                                                                                                                                                                                                                                                                                                                                                                                                                                                                                                                                                                                                                                                                                                                                   </t>
  </si>
  <si>
    <t>En el carácter, representa una relación en la cual los dos platican, comparten y se comunican constantemente. Les gusta hacer planes y estructurar cambios, sin embargo, difícilmente los concretan.</t>
  </si>
  <si>
    <t>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t>
  </si>
  <si>
    <t>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t>
  </si>
  <si>
    <t>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t>
  </si>
  <si>
    <t>Es el centro, la conjunción de los ocho trigramas, por lo que toma su naturaleza de ellos y puede tener características de todos, principalmente de 2Tierra y de 8Tierra. Son el centro de la familia, de la atención, por lo que tienden al egoísmo y egocentrismo. Son independientes y separados de la familia; son el punto de atención en el aspecto social y son extremadamente sociables, amistosos, simpáticos y se relacionan con todo tipo de personas. A su vez son extremistas v constantemente cometen los mismos errores. Extremadamente atractivos y ambiciosos, son los mejores para salir delante de las situaciones problemáticas. Siempre están en el centro de lo que sucede a su alrededor. Son excelentes para controlar las situaciones, toman el liderazgo y la guía. Constantemente tienen altas y bajas, son resistentes y perseverantes, capaces de generar grandes cambios en cualquier parte. Son glamorosos y atractivos, trancos v tenaces; no soportan la crítica y creen tener siempre la razón.</t>
  </si>
  <si>
    <t xml:space="preserve">Son excelentes en relaciones públicas y su enorme carisma les permite controlar grandes empresas y convertirse en líderes; la comunicación es otro aspecto favorable para ellos, son buenos vendedores y comerciantes. En su aspecto sentimental son polifacéticos y cambiantes, lo que los hace muy atractivos, son simpáticos y divertidos, al igual que adaptables a las circunstancias, por lo que no tienen un patrón definido de pareja ideal y pueden verse en las relaciones sentimentales más extrañas y opuestas. </t>
  </si>
  <si>
    <t>Un movimiento hacia esta dirección despertará la creatividad y revolucionará  tu energía. Te sentirás fresco, libre artístico. Ideal para desarrollar las ideas y los proyectos más locos y originales: Despertará la tenacidad y la perseverancia, tendrás ganas de hacer ejercicio y estar activo.</t>
  </si>
  <si>
    <t>ENERO</t>
  </si>
  <si>
    <t>FEBRERO</t>
  </si>
  <si>
    <t>MARZO</t>
  </si>
  <si>
    <t>ABRIL</t>
  </si>
  <si>
    <t>MAYO</t>
  </si>
  <si>
    <t>JUNIO</t>
  </si>
  <si>
    <t>JULIO</t>
  </si>
  <si>
    <t>AGOSTO</t>
  </si>
  <si>
    <t>SEPTIEMBRE</t>
  </si>
  <si>
    <t>OCTUBRE</t>
  </si>
  <si>
    <t>NOVIEMBRE</t>
  </si>
  <si>
    <t>DICIEMBRE</t>
  </si>
  <si>
    <t>LO SHU EN</t>
  </si>
  <si>
    <t>AÑO</t>
  </si>
  <si>
    <t>Brigitte Bardot, Bertolt Brecht, Lenin, Voltaire, Sócrates, Moliere, León Blum, Proust, Yuri Gagarin, Guy de Maupassant, Luis XVI de Francia, David Bowie, Bruno Kreisky, Norman Mailer, Bettino Craxi, Liza Minelli, Alberto de Monaco, Úrsula Andreus, Akira Kurosawa, Shirley McLaine, Tony Leblanc, Candice Bergen, Stefania Sandrelli, Jacques Cousteau, Jean Anouilh, Silvester Stallone, Mireille Mathieu, Shelley Winters, Madre Teresa de Calcuta, Michael Jackson, Vittorio Gassmann, Rocío Jurado, Sofia Loren, Olivia Newton-John, Christian Barnard, Manuel Fraga Iribarne, Ava Gardner.</t>
  </si>
  <si>
    <t>Las personas con este ascendente son ordenadas, organizadas, detallistas y perfeccionistas, eficientes y brillantes, destacan por su labor, crean grandes empresas pero tienen constantes altas y bajas económicas. Se inmiscuyen en las aventuras financieras más extrañas y locas.</t>
  </si>
  <si>
    <t xml:space="preserve">Criaturas justas, leales, equitativas, sinceras, honestas, sencilla. Luchan por lograr todo lo que se proponen. Disciplinadas, no admiten términos medios, son drásticas y decididas. </t>
  </si>
  <si>
    <t>Estas personas son amistosas, generosas y leales; Jamás dejaran ni abandonaran a alguien en problemas; cariñosas, simpáticas y graciosas.</t>
  </si>
  <si>
    <t>Generalmente son personas abiertas y honestas tienen una idea muy peculiar de la vida, sin embargo dificilmente las engañas, su naturaleza es amistosa y tienen un amplio circulo social. Tienen un sentido común que las pone en ventaja en cualquier situación, es importante que aprendan a distinguir entre conversación y chismes, para evitar problema sy conflictos.</t>
  </si>
  <si>
    <t>INCOMPATIBILIDAD CON EN ASCENDENTE</t>
  </si>
  <si>
    <t>Jabalí</t>
  </si>
  <si>
    <t>Serpientes sumamente sensibles y ultra eróticas y muy refinadas, pero dadas a los vicios más extremos, todos ligados al placer erótico. Los Jabalís, artísticos, analíticos y sabios, pero curiosos en cuanto a los límites que podrán llegar a sentir bajo distintos estimulantes. Se sentirán muy auto controlado y por lo mismo limitados.</t>
  </si>
  <si>
    <t>En personalidad comparten los mismos gustos y atractivos, es una relación que puede girar alrededor del desarrollo profesional.</t>
  </si>
  <si>
    <t>En carácter deben cuidar de no caer en la competencia por destacar y obtener más logros que el otro para evitar convertir la relación en algo destructivo.</t>
  </si>
  <si>
    <t>En el número energético son tenaces y dedicados, capaces de formar un equipo exitoso, deben evitar caer en el estancamiento y el aburrimiento.</t>
  </si>
  <si>
    <t>En el carácter tienen pasión y tenacidad, son los polos opuestos que se complementan y dan vida.</t>
  </si>
  <si>
    <t>En personalidad representan la fiesta, el brillo y destacan socialmente. Capaces de socializar con todo el mundo y tener todo tipo de relaciones amistosas.</t>
  </si>
  <si>
    <t>En el carácter deben de cuidar de no competir por destacar más que el otro, ya que pueden convertirse en una relación explosiva.</t>
  </si>
  <si>
    <t>En el número energético son pasión y fuego, excelentes colegas inspirados y creativos. Excelente equipo para ventas y relaciones públicas.</t>
  </si>
  <si>
    <t>En carácter, su relación es suave y considerada. Se consienten y se m imán, disfrutan del ambiente familiar.</t>
  </si>
  <si>
    <t>En número energético deben ser más realistas y un poco más impulsivos para lograr sus metas y cristalizar sus planes.</t>
  </si>
  <si>
    <t>En el carácter son impulsivos y aventurados, disfrutan de convivir juntos y del dinamismo. Poseen la habilidad de entenderse y comunicarse de manera franca y directa.</t>
  </si>
  <si>
    <t>En personalidad ambos son suaves y elegantes, simpáticos y comparten su  carisma y estilo.</t>
  </si>
  <si>
    <t>En personalidad disfrutan el uno del otro y llevan una relación muy afín. Son entusiastas y positivos.</t>
  </si>
  <si>
    <t>En la relación sexual pueden resultar una pareja con falta de pasión, al ser personas con elementos similares el romance no es fuerte es importante que cultiven y desarrollen actividades similares que les representen emoción y aventura.</t>
  </si>
  <si>
    <t>Buena  combinación, el agua aporta la actividad sexual, la profundidad de sentimientos, y la madera la aventura. Se entienden muy bien y forman una atmosfera de complicidad.</t>
  </si>
  <si>
    <t>agua-agua</t>
  </si>
  <si>
    <t>agua-tierra</t>
  </si>
  <si>
    <t xml:space="preserve">Porque también cuentan con un espíritu aventurero y son las personas más fascinadoras del Zodiaco Chino. Cuidado, si alguien se atreve a enojarlas se encolerizan con gran facilidad y contraatacan con evidente crueldad y eficacia. Pueden resultar bastante celosas en el amor y, sobre todo. en las cuestiones sexuales. Es el lado opuesto de sus grandes posibilidades a la hora de conquistar en estas dos sugestivas parcelas de la existencia. Por algo se considera a las personas nacidas en los años rata como las más "ligonas" de este mundo. Viven intensamente el presente, y cualquier suceso que se presenta se transforma en el acto en un motivo capaz de hacerlas luchar hasta encontrar su "intríngulis" o resolverlo. Su principal cualidad es la intuición, la astucia y la osadía. Poseen una gran creatividad y una impresionante capacidad de invención. </t>
  </si>
  <si>
    <t>PERSONALIDAD DE LA PAREJA</t>
  </si>
  <si>
    <t>CARÁCTER DE LA PAREJA</t>
  </si>
  <si>
    <t>ENERGÍA DE LA PAREJA</t>
  </si>
  <si>
    <t>usted</t>
  </si>
  <si>
    <t>su pareja</t>
  </si>
  <si>
    <t>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t>
  </si>
  <si>
    <t>Son muy adecuados para actividades y labores de equipo, son organizados  y conductores de eventos y reuniones, dada la atención y los cuidados que ponen en los demás y en los detalles. Contagian su alegría y compañerismo. Generalmente son coleccionistas y acumuladores de objetos; disfrutan de la buena comida. Otros aspectos negativos; tienen una tendencia demasiado conservadora, se sacrifican, entregan demasiado de sí mismos a los demás, son obstinados y excesivamente detallistas y perfeccionistas.</t>
  </si>
  <si>
    <t>día</t>
  </si>
  <si>
    <t>mes</t>
  </si>
  <si>
    <t>Sara Bernardt, Mari Pickford, Salvador Dalí, Harold Wilson, Juana de Arco, Jesucristo, Juan Jacobo Rousseau, Barbara Cartiand, Bernard Shaw, Danton, Mariscal Tito, Santa Bernardette, Napoleón III, Mariscal Petain, Pilar Miró, Joan Baez, Susannah York, Pasqual Maragall, Faye Dunaway, Ernesto Halffter, Plácido Domingo, Adolfo Marsillach, Jean Simmons, Estefanía de Mónaco, Gabriel García Márquez, Sara Montiel, Alberto Cortez, Bernardo Bertolucci, Gregory Peck, Julie Christie, Shirley Temple, Al Pacino, Glen Ford, Fabiola de Bélgica, Olivia de Havilland, Ringo Starr, Yul Brynner, Stanley Kubrick, James Coburn, Raquel Welch, Rossano Brazzi, Silvia Kristel, George Peppard, Pelé, Ray Coniff, Elke Sommer, Gene Tierney, François Mitterrand, Trevor Howard, Gram.</t>
  </si>
  <si>
    <t>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t>
  </si>
  <si>
    <t>Rembrandt, David Crockett, Carlomagno, Kruschev, Pasteur, Eduardo VIII, Delacroix, Isaac Newton, George Braque Buffalo Bill, el rey Balduino de Bélgica, María Mahor, Robert Duvall, Terry Venables, Robert Stack, José Luis Rodríguez "El Puma", Ernest Borgnine, Lucía Bosé, Katherine Ross, John Carradine, Robert Wagner, Claire Bloom, John Travolta, Joanne Woodward, Felipe González Márquez, José Barrionuevo, Samuel Beckett, Silvana Mangano, Barbra Streissand, Ella Fitzgerald, Clint Eastwood, Paul McCartney, Lillian Hellman, Claude Chabrol, Oriana Fallaci.</t>
  </si>
  <si>
    <t>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t>
  </si>
  <si>
    <t>Lyndon Johson, Harry Truman, Julio César, Chamberlain, Leonardo da Vinci, Modigliani, Gauguin, John Millón Lord Byron, Alejandro Dumas, el marqués de Sade, Elizabeth Taylor, Rod Steward, José Luis Perales, Carolina de Monaco, Felipe de Borbón, Charlotte Rampling, Lana Turner, Mia Farrow, Milos Forman, Giulietta Masina, Rex Harrison, Diana Ross, Dick Bogarde, Nagisa Oshima, Debbie Reynolds, Miguel Bosé, Anthony Perkins, Bette Davis, Herbert von Karajan, Omar Sharif, Anouk Aimée, Ray Sugar Robinson, Karol Wojtyla, James Stewart, Helmut Berger, Don Ameche, Bjorn Borg, Miguel Ríos, Juan Antonio Samaranch.</t>
  </si>
  <si>
    <t>Richelieu, Goebbels, Raimond Oliver, María de Médici, Pablo VI, Francoise Mauriac, André Maurois, William Faulkner, Wagner, Kipling, La Fontaine, Colette, Diane Keaton, Jacques Anquetil, Ava Gardner, Joseph Leo Mankiewicz, Costa Gravas, Kim Novak, Cyd Charisse, Michael Caine, Simone Signoret, Catherine,Spaak, Daniel Cohn Bendit, Norma Duval, Jean-Paul Belmondo, Monserrat Caballé, Peter Ustinov, Juliana de Holanda, Raphael, Andrei Sajarov, Joan Collins, Benny Goodman, Eddy Merckx, Jane Russell, Nancy Reagan, Donald Southerland, John Glenn, Bob Beaumon, Carmen Laforet, Elia Kazan, Deborah Kerr, Charles Bronson, Katherine Hepburn.</t>
  </si>
  <si>
    <t>En personalidad, pueden ser lo mejores amigos o los peores enemigos, necesitan nutrirse del elemento metal para no caer en depresiones. Deben destacar sus cualidades para impulsarse y crecer.</t>
  </si>
  <si>
    <t>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t>
  </si>
  <si>
    <t>Estas personas son rápidos, vivavces; ideas fugaces y brillantes, son personas ocurrentes y originales, alegres, festivas, agudas y espontáneas, que defienden apasionadamente sus ideas cuando hablan, muy expresivas y glamurosas en sus emociones son impulsivas, orgullosas, vanidosas y un poco salvajes y extremistas.</t>
  </si>
  <si>
    <t>PERÍODO</t>
  </si>
  <si>
    <t>N° Principal</t>
  </si>
  <si>
    <t>desde</t>
  </si>
  <si>
    <t>hasta</t>
  </si>
  <si>
    <t>entre períodos</t>
  </si>
  <si>
    <t>6Metal</t>
  </si>
  <si>
    <t>7Metal</t>
  </si>
  <si>
    <t>8Tierra</t>
  </si>
  <si>
    <t>Estas personas son serias, calladas y profundas a primera vista aunque después se manifiesten sus otras estrellas. Estas personas necesitan desarrollar flexibilidad, espiritualidad y prácticas de purificación, aunque a  primera impresión dan la idea de ser fáciles, tranquilas y flexibles, que realmente es lo que hay que trabajar, así como en el trabajo su actitud es indepemdiente, objetiva y artística.</t>
  </si>
  <si>
    <t>La impresión que dan es de ser personas superficiales, cooperativas, conservadoras y confiables. Su camino se mejora a través del desarrollo de la filantropía, el amor maternal la receptividad y de ayudar con amor a los demás: La primera imagen que estas personas proyectan es ser sociables, amistosas y maternales. En cualquier trabajo se manifiestan cooperativas, organizadas, cuidadosas y confiables.</t>
  </si>
  <si>
    <t>Su apariencia es explosiva, ruidosa, hiperactiva. Deben aprender a ser espontáneas, expresivas, flexibles y a madurar a través del crecimiento interno y externo. Dan la impresión de ser personas directas, conocedoras y orientadas. Al trabajar son técnicos, entusiastas y compenetrados.</t>
  </si>
  <si>
    <t>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t>
  </si>
  <si>
    <t>La tierra yin hace que este compañero de ruta imprima estabilidad al signo del año. Produce trabajadores confiables y responsables, pero con pocas posibilidades de sobresalir. Los signos que se benefician de este compañero de ruta son el búfalo, la serpiente y el mono. Es difícil para la cabra, produce soltería en el gallo, el dragón y en el tigre. En cambio dota de paciencia al resto del zodíaco.</t>
  </si>
  <si>
    <t>La tierra yang del dragón provee al signo anual de un carisma tremendo, produce líderes espirituales políticos sobresalientes y caudillos. Pero también puede producir adolescentes procesos aunque muy inteligentes. Da tigres, conejos, caballos y perros chismosos y solterones. Gallos, dragones y monos sobresalientes o poderosos y para el resto del zodiaco personas atractivas.</t>
  </si>
  <si>
    <t>El fuego yin imprime una gran capacidad analítica y lógica a los signos que toca. La sabiduría de la serpiente es muy buena pero en signos como la rata, el caballo, el mono y el perro, esta sabiduría puede convertirse en cinismo y el sentido del humor en sarcasmo. el resto del zodiaco se ve muy beneficiado por este signo, gracia a que los hace más inteligentes, pero en el dragón esta característica puede llevarlo a convertirse en un Buda en un Iluminado.</t>
  </si>
  <si>
    <t>Ascendente</t>
  </si>
  <si>
    <t>Características</t>
  </si>
  <si>
    <t>El metal yang a las personas gallo, serpiente y búfalo nacer a la hora del mono les trae problemas sociales toda su vida, las dota de un carácter lleno de altibajos y un sentido del humor tonto o grosero, sin embargo, para las personas de los años del perro, el caballo y la cabra el mono les dará vitalidad y muchísima inteligencia, el resto del zodiaco, sólo será más simpático y atlético en general, el metal yang también produce médico cirujanos.</t>
  </si>
  <si>
    <t>El caballo convierte a los signos que acompaña en grandes aventureros. No le conviene ni a la rata, ni al mono , ni al dragón nacer en esta hora, pero el gallo y el búfalo bajo el fuego yang del caballo obtienen mucha suerte a la hora de encontrar pareja, al caballo no le conviene nacer en su propia hora, para el resto del zodiaco nacer con este compañero de ruta puede hacerlos muy divertidos y amigos muy fieles</t>
  </si>
  <si>
    <t xml:space="preserve">Sensitivos, emocionales y apasionados en el amor. Lo singular hemos de verlo en que sus romances acostumbran a resultar turbulentos. Su pareja ideal es un caballo honesto, un dragón prudente o con un perro idealista. Las peores serían una serpiente sabia y un mono malicioso. </t>
  </si>
  <si>
    <t xml:space="preserve">Se encuentran predispuestos a entregarse plenamente en el amor lo que no les impide mostrarse enfurecidos cuando se hallan en esta situación: la desconfianza y los celos les hieren profundamente. Los caballos jamás deben unirse a las ratas, debido a que enseguida se producirá esa chispa que generará una batalla con las peores consecuencias para los primeros. </t>
  </si>
  <si>
    <t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t>
  </si>
  <si>
    <t xml:space="preserve">La gente nacida en el año del caballo es popular. Ella es alegre, experta con el dinero, y perceptive, aunque ella habla a veces demasiado. Sea sabio, talentoso, bueno con sus manos, y tenga a veces una debilidad para los miembros del sexo opuesto. Son impaciente y apasionada sobre todo a menos que su trabajo diario. Tienen gusto la hospitalidad y las muchedumbres grandes. Son muy independientes y escuchan raramente el consejo de los demas. Son más compatible con los tigres, los perros, y las ovejas.Las personas se hallan bajo la influencia del año caballo son optimistas, comunicativas y sociables. Esto supone que con facilidad llegan a convertirse en las más populares y amadas por las gentes que las rodean. </t>
  </si>
  <si>
    <t>Características adicionales que el ascendente imprime a este signo.</t>
  </si>
  <si>
    <t>BúfaloTigre</t>
  </si>
  <si>
    <t>TigreTigre</t>
  </si>
  <si>
    <t>ConejoTigre</t>
  </si>
  <si>
    <t>DragónTigre</t>
  </si>
  <si>
    <t>SerpienteTigre</t>
  </si>
  <si>
    <t>CaballoTigre</t>
  </si>
  <si>
    <t>CabraTigre</t>
  </si>
  <si>
    <t>MonoTigre</t>
  </si>
  <si>
    <t>GalloTigre</t>
  </si>
  <si>
    <t>PerroTigre</t>
  </si>
  <si>
    <t>JabalíTigre</t>
  </si>
  <si>
    <t>RataTigre</t>
  </si>
  <si>
    <t>BúfaloBúfalo</t>
  </si>
  <si>
    <t>BúfaloConejo</t>
  </si>
  <si>
    <t>BúfaloDragón</t>
  </si>
  <si>
    <t>BúfaloSerpiente</t>
  </si>
  <si>
    <t>BúfaloCaballo</t>
  </si>
  <si>
    <t>BúfaloMono</t>
  </si>
  <si>
    <t>BúfaloGallo</t>
  </si>
  <si>
    <t>BúfaloPerro</t>
  </si>
  <si>
    <t>BúfaloJabalí</t>
  </si>
  <si>
    <t>BúfaloRata</t>
  </si>
  <si>
    <t>TigreBúfalo</t>
  </si>
  <si>
    <t>TigreConejo</t>
  </si>
  <si>
    <t>TigreDragón</t>
  </si>
  <si>
    <t>TigreSerpiente</t>
  </si>
  <si>
    <t>TigreCaballo</t>
  </si>
  <si>
    <t>TigreCabra</t>
  </si>
  <si>
    <t>TigreGallo</t>
  </si>
  <si>
    <t>TigrePerro</t>
  </si>
  <si>
    <t>TigreJabalí</t>
  </si>
  <si>
    <t>TigreRata</t>
  </si>
  <si>
    <t>ConejoBúfalo</t>
  </si>
  <si>
    <t>ConejoConejo</t>
  </si>
  <si>
    <t>ConejoDragón</t>
  </si>
  <si>
    <t>ConejoSerpiente</t>
  </si>
  <si>
    <t>ConejoCaballo</t>
  </si>
  <si>
    <t>ConejoCabra</t>
  </si>
  <si>
    <t>ConejoMono</t>
  </si>
  <si>
    <t>ConejoPerro</t>
  </si>
  <si>
    <t>ConejoJabalí</t>
  </si>
  <si>
    <t>ConejoRata</t>
  </si>
  <si>
    <t>DragónBúfalo</t>
  </si>
  <si>
    <t>DragónConejo</t>
  </si>
  <si>
    <t>DragónDragón</t>
  </si>
  <si>
    <t>DragónSerpiente</t>
  </si>
  <si>
    <t>DragónCaballo</t>
  </si>
  <si>
    <t>DragónCabra</t>
  </si>
  <si>
    <t>DragónMono</t>
  </si>
  <si>
    <t>DragónGallo</t>
  </si>
  <si>
    <t>DragónJabalí</t>
  </si>
  <si>
    <t>DragónRata</t>
  </si>
  <si>
    <t>SerpienteBúfalo</t>
  </si>
  <si>
    <t>SerpienteConejo</t>
  </si>
  <si>
    <t>SerpienteDragón</t>
  </si>
  <si>
    <t>SerpienteSerpiente</t>
  </si>
  <si>
    <t>SerpienteCaballo</t>
  </si>
  <si>
    <t>SerpienteCabra</t>
  </si>
  <si>
    <t>SerpienteMono</t>
  </si>
  <si>
    <t>SerpienteGallo</t>
  </si>
  <si>
    <t>SerpientePerro</t>
  </si>
  <si>
    <t>SerpienteRata</t>
  </si>
  <si>
    <t>CaballoBúfalo</t>
  </si>
  <si>
    <t>CaballoConejo</t>
  </si>
  <si>
    <t>CaballoDragón</t>
  </si>
  <si>
    <t>CaballoSerpiente</t>
  </si>
  <si>
    <t>CaballoCaballo</t>
  </si>
  <si>
    <t>CaballoCabra</t>
  </si>
  <si>
    <t>CaballoMono</t>
  </si>
  <si>
    <t>CaballoGallo</t>
  </si>
  <si>
    <t>CaballoPerro</t>
  </si>
  <si>
    <t>CaballoJabalí</t>
  </si>
  <si>
    <t>CabraConejo</t>
  </si>
  <si>
    <t>CabraDragón</t>
  </si>
  <si>
    <t>CabraSerpiente</t>
  </si>
  <si>
    <t>CabraCaballo</t>
  </si>
  <si>
    <t>CabraCabra</t>
  </si>
  <si>
    <t>CabraMono</t>
  </si>
  <si>
    <t>CabraGallo</t>
  </si>
  <si>
    <t>CabraPerro</t>
  </si>
  <si>
    <t>CabraJabalí</t>
  </si>
  <si>
    <t>CabraRata</t>
  </si>
  <si>
    <t>MonoBúfalo</t>
  </si>
  <si>
    <t>MonoConejo</t>
  </si>
  <si>
    <t>MonoDragón</t>
  </si>
  <si>
    <t>MonoSerpiente</t>
  </si>
  <si>
    <t>MonoCaballo</t>
  </si>
  <si>
    <t>MonoCabra</t>
  </si>
  <si>
    <t>MonoMono</t>
  </si>
  <si>
    <t>MonoGallo</t>
  </si>
  <si>
    <t>MonoPerro</t>
  </si>
  <si>
    <t>MonoJabalí</t>
  </si>
  <si>
    <t>MonoRata</t>
  </si>
  <si>
    <t>PerroBúfalo</t>
  </si>
  <si>
    <t>PerroConejo</t>
  </si>
  <si>
    <t>PerroDragón</t>
  </si>
  <si>
    <t>PerroSerpiente</t>
  </si>
  <si>
    <t>PerroCaballo</t>
  </si>
  <si>
    <t>PerroCabra</t>
  </si>
  <si>
    <t>PerroMono</t>
  </si>
  <si>
    <t>PerroGallo</t>
  </si>
  <si>
    <t>PerroPerro</t>
  </si>
  <si>
    <t>PerroJabalí</t>
  </si>
  <si>
    <t>PerroRata</t>
  </si>
  <si>
    <t>JabalíBúfalo</t>
  </si>
  <si>
    <t>JabalíConejo</t>
  </si>
  <si>
    <t>JabalíDragón</t>
  </si>
  <si>
    <t>JabalíSerpiente</t>
  </si>
  <si>
    <t>JabalíCaballo</t>
  </si>
  <si>
    <t>JabalíCabra</t>
  </si>
  <si>
    <t>JabalíMono</t>
  </si>
  <si>
    <t>JabalíGallo</t>
  </si>
  <si>
    <t>JabalíPerro</t>
  </si>
  <si>
    <t>JabalíJabalí</t>
  </si>
  <si>
    <t>JabalíRata</t>
  </si>
  <si>
    <t>GalloBúfalo</t>
  </si>
  <si>
    <t>GalloConejo</t>
  </si>
  <si>
    <t>GalloDragón</t>
  </si>
  <si>
    <t>GalloSerpiente</t>
  </si>
  <si>
    <t>GalloCaballo</t>
  </si>
  <si>
    <t>GalloCabra</t>
  </si>
  <si>
    <t>GalloMono</t>
  </si>
  <si>
    <t>GalloGallo</t>
  </si>
  <si>
    <t>GalloPerro</t>
  </si>
  <si>
    <t>GalloJabalí</t>
  </si>
  <si>
    <t>GalloRata</t>
  </si>
  <si>
    <t>RataBúfalo</t>
  </si>
  <si>
    <t>RataConejo</t>
  </si>
  <si>
    <t>RataDragón</t>
  </si>
  <si>
    <t>RataSerpiente</t>
  </si>
  <si>
    <t>RataCaballo</t>
  </si>
  <si>
    <t>RataCabra</t>
  </si>
  <si>
    <t>RataMono</t>
  </si>
  <si>
    <t>RataGallo</t>
  </si>
  <si>
    <t>RataPerro</t>
  </si>
  <si>
    <t>RataJabalí</t>
  </si>
  <si>
    <t>RataRata</t>
  </si>
  <si>
    <t>NO EXISTE INCOMPATIBILIDAD CON EL ASCENDENTE</t>
  </si>
  <si>
    <t>Ratas Impetuosas pero irresponsables Aunque buenas para improvisar y llamar la atención de todo el mundo. Buenos actores y artistas. Caballos tendientes a sufrir déficit de atención y neurosis</t>
  </si>
  <si>
    <t>RATA</t>
  </si>
  <si>
    <t>TIGRE</t>
  </si>
  <si>
    <t>CONEJO</t>
  </si>
  <si>
    <t>DRAGÓN</t>
  </si>
  <si>
    <t>SERPIENTE</t>
  </si>
  <si>
    <t>CABALLO</t>
  </si>
  <si>
    <t>CABRA</t>
  </si>
  <si>
    <t>MONO</t>
  </si>
  <si>
    <t>GALLO</t>
  </si>
  <si>
    <t>PERRO</t>
  </si>
  <si>
    <t>SIMBOLO</t>
  </si>
  <si>
    <t>JABALÍ</t>
  </si>
  <si>
    <t>BÚFALO</t>
  </si>
  <si>
    <t>SIMBOLO1</t>
  </si>
  <si>
    <t>La gente nacida bajo signo del tigre es sensible, dado profundamente al pensamiento, capaz de gran condolencia. Ella puede ser templada extremadamente Fria, sin embargo. La gente tiene gran respecto por ella, pero la gente del tigre tiene a veces  conflicto con las personas mayores o aquellas que tienen autoridad, no pueden soportar a alguien por encima de sus mentes, que pueden dar lugar a una pobre respuesta o  una decisión precipitada, una decisión sana llega demasiado tarde. Son recelosas de otras, pero son valerosas y de gran alcance. Los tigres son los más compatibles con los caballos, los dragones, y los perros. Los individuos tigre son independientes, tenaces y duros Son considerados muy afortunados, ya que su signo representa la suerte.</t>
  </si>
  <si>
    <t>Día         [dd]</t>
  </si>
  <si>
    <t>Mes         [mm]</t>
  </si>
  <si>
    <t>Año                   [aaaa]</t>
  </si>
  <si>
    <t>Hora             [hh:mm]</t>
  </si>
  <si>
    <t>FISICO</t>
  </si>
  <si>
    <t>EMOCIONAL</t>
  </si>
  <si>
    <t>INTELECTUAL</t>
  </si>
  <si>
    <t>MES</t>
  </si>
  <si>
    <t>Días del año</t>
  </si>
  <si>
    <t>Días de vida Transcurridos</t>
  </si>
  <si>
    <t>MEJOR Y PEOR DIA DEL AÑO</t>
  </si>
  <si>
    <t>Fecha de Nacimiento de la pareja</t>
  </si>
  <si>
    <t xml:space="preserve">En las cuestiones amorosas llegan a hacerse mucho daño y con frecuencia desilusionan a sus parejas. Serán muy dichosos con los búfalo, las serpientes, los dragones... ¡Pero por nada del mundo han de aceptar la compañía de los gatos o conejos!. Se cuenta una leyenda en Asia referente a que una pareja de gallos es capaz de hacer la vida imposible a cualquiera: además, resultan muy fértiles y suelen tener hijos "no deseados". </t>
  </si>
  <si>
    <t>La gente nacida en el año del gallo son pensadores profundos, capaces, y talentosos. Ella tiene gusto de estar ocupada y es devota más allá de sus capacidades y está decepcionada profundamente si el le falla. Pues es nato en el gallo, que, en el año, es a menudo un excéntrico, y tenga a menudo una relación algo difícil con otras personas. ¡Piensan siempre que tienen razón y que están generalmente bien seguros de eso! Son con frecuencia solitarios y aunque dan la impresión exterior de  adventureros, son tímidos. En las emociones de la gente del gallo, tiene gusto por las fortunas, oscilación de lo muy alto a lo muy bajo. Pueden ser egoístas o demasiado abiertas, pero son siempre interesantes y pueden ser extremadamente valientes. Son las más compatibles con el búfalo , la serpiente, y el dragón.</t>
  </si>
  <si>
    <t>Relación difícil y en algunos casos destructiva, el metal controla y es tajante con la madera, aspecto que puede dañar los sentimientos de ésta, haciéndole sentirse reprimida y sin apoyo. Deben trabajar mucho la comunicación y la flexibilidad, preocuparse y dejar en claro las necesidades personales. Sin embargo, resolviendo esto pueden ser realmente seductores, uno del otro.</t>
  </si>
  <si>
    <t>Roberto Zetina Peralta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</si>
</sst>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 #,##0_-;\-* #,##0_-;_-* &quot;-&quot;??_-;_-@_-"/>
  </numFmts>
  <fonts count="54">
    <font>
      <sz val="10"/>
      <name val="Arial"/>
    </font>
    <font>
      <sz val="10"/>
      <name val="Arial"/>
      <family val="2"/>
    </font>
    <font>
      <sz val="10"/>
      <name val="Arial"/>
      <family val="2"/>
    </font>
    <font>
      <sz val="10"/>
      <color indexed="10"/>
      <name val="Arial"/>
      <family val="2"/>
    </font>
    <font>
      <b/>
      <sz val="18"/>
      <color indexed="9"/>
      <name val="Arial"/>
      <family val="2"/>
    </font>
    <font>
      <sz val="16"/>
      <color indexed="10"/>
      <name val="Arial"/>
      <family val="2"/>
    </font>
    <font>
      <sz val="16"/>
      <name val="Arial"/>
      <family val="2"/>
    </font>
    <font>
      <b/>
      <sz val="18"/>
      <color indexed="9"/>
      <name val="Arial"/>
      <family val="2"/>
    </font>
    <font>
      <b/>
      <sz val="16"/>
      <color indexed="10"/>
      <name val="Arial"/>
      <family val="2"/>
    </font>
    <font>
      <b/>
      <sz val="16"/>
      <name val="Arial"/>
      <family val="2"/>
    </font>
    <font>
      <b/>
      <sz val="14"/>
      <color indexed="9"/>
      <name val="Arial"/>
      <family val="2"/>
    </font>
    <font>
      <sz val="8"/>
      <name val="Arial"/>
      <family val="2"/>
    </font>
    <font>
      <b/>
      <sz val="10"/>
      <color indexed="9"/>
      <name val="Arial"/>
      <family val="2"/>
    </font>
    <font>
      <b/>
      <sz val="48"/>
      <name val="Arial"/>
      <family val="2"/>
    </font>
    <font>
      <b/>
      <sz val="8"/>
      <name val="Arial"/>
      <family val="2"/>
    </font>
    <font>
      <b/>
      <sz val="24"/>
      <name val="Arial"/>
      <family val="2"/>
    </font>
    <font>
      <b/>
      <sz val="10"/>
      <name val="Arial"/>
      <family val="2"/>
    </font>
    <font>
      <b/>
      <sz val="48"/>
      <name val="Wingdings"/>
      <charset val="2"/>
    </font>
    <font>
      <b/>
      <i/>
      <sz val="10"/>
      <name val="Arial"/>
      <family val="2"/>
    </font>
    <font>
      <b/>
      <i/>
      <sz val="8"/>
      <name val="Arial"/>
      <family val="2"/>
    </font>
    <font>
      <b/>
      <i/>
      <sz val="10"/>
      <color indexed="9"/>
      <name val="Arial"/>
      <family val="2"/>
    </font>
    <font>
      <i/>
      <sz val="6"/>
      <name val="Arial"/>
      <family val="2"/>
    </font>
    <font>
      <b/>
      <sz val="14"/>
      <name val="Arial"/>
      <family val="2"/>
    </font>
    <font>
      <b/>
      <i/>
      <sz val="18"/>
      <name val="Helv"/>
    </font>
    <font>
      <b/>
      <i/>
      <sz val="10"/>
      <name val="Helv"/>
    </font>
    <font>
      <sz val="10"/>
      <name val="Helv"/>
    </font>
    <font>
      <b/>
      <sz val="10"/>
      <name val="Helv"/>
    </font>
    <font>
      <sz val="10"/>
      <color indexed="9"/>
      <name val="Arial"/>
      <family val="2"/>
    </font>
    <font>
      <b/>
      <sz val="16"/>
      <color indexed="9"/>
      <name val="Arial"/>
      <family val="2"/>
    </font>
    <font>
      <b/>
      <sz val="11"/>
      <color indexed="9"/>
      <name val="Arial"/>
      <family val="2"/>
    </font>
    <font>
      <sz val="12"/>
      <name val="Arial"/>
      <family val="2"/>
    </font>
    <font>
      <b/>
      <sz val="12"/>
      <name val="Arial"/>
      <family val="2"/>
    </font>
    <font>
      <b/>
      <sz val="10"/>
      <name val="Wingdings"/>
      <charset val="2"/>
    </font>
    <font>
      <b/>
      <sz val="10"/>
      <color indexed="8"/>
      <name val="Arial"/>
      <family val="2"/>
    </font>
    <font>
      <b/>
      <sz val="12"/>
      <color indexed="9"/>
      <name val="Arial"/>
      <family val="2"/>
    </font>
    <font>
      <b/>
      <sz val="24"/>
      <color indexed="9"/>
      <name val="LongIsland"/>
    </font>
    <font>
      <b/>
      <sz val="10"/>
      <name val="Arial"/>
      <family val="2"/>
    </font>
    <font>
      <sz val="10"/>
      <name val="Arial"/>
      <family val="2"/>
    </font>
    <font>
      <sz val="10"/>
      <color indexed="44"/>
      <name val="Arial"/>
      <family val="2"/>
    </font>
    <font>
      <b/>
      <sz val="24"/>
      <color indexed="9"/>
      <name val="Arial"/>
      <family val="2"/>
    </font>
    <font>
      <sz val="9"/>
      <name val="Arial"/>
      <family val="2"/>
    </font>
    <font>
      <b/>
      <sz val="9"/>
      <color indexed="9"/>
      <name val="Arial"/>
      <family val="2"/>
    </font>
    <font>
      <sz val="10"/>
      <color indexed="9"/>
      <name val="Arial"/>
      <family val="2"/>
    </font>
    <font>
      <b/>
      <i/>
      <sz val="28"/>
      <name val="Arial"/>
      <family val="2"/>
    </font>
    <font>
      <b/>
      <sz val="10"/>
      <color rgb="FFFF0000"/>
      <name val="Arial"/>
      <family val="2"/>
    </font>
    <font>
      <b/>
      <sz val="10"/>
      <color theme="0"/>
      <name val="Arial"/>
      <family val="2"/>
    </font>
    <font>
      <b/>
      <sz val="10"/>
      <color theme="1"/>
      <name val="Arial"/>
      <family val="2"/>
    </font>
    <font>
      <b/>
      <sz val="26"/>
      <name val="Arial"/>
      <family val="2"/>
    </font>
    <font>
      <sz val="24"/>
      <name val="Arial"/>
      <family val="2"/>
    </font>
    <font>
      <i/>
      <sz val="10"/>
      <name val="Arial"/>
      <family val="2"/>
    </font>
    <font>
      <b/>
      <i/>
      <sz val="24"/>
      <color theme="0"/>
      <name val="Arial"/>
      <family val="2"/>
    </font>
    <font>
      <b/>
      <i/>
      <sz val="11"/>
      <color theme="0"/>
      <name val="Arial"/>
      <family val="2"/>
    </font>
    <font>
      <b/>
      <i/>
      <sz val="6"/>
      <color theme="0"/>
      <name val="Arial"/>
      <family val="2"/>
    </font>
    <font>
      <b/>
      <i/>
      <sz val="10"/>
      <color theme="0"/>
      <name val="Arial"/>
      <family val="2"/>
    </font>
  </fonts>
  <fills count="20">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12"/>
        <bgColor indexed="64"/>
      </patternFill>
    </fill>
    <fill>
      <patternFill patternType="solid">
        <fgColor indexed="17"/>
        <bgColor indexed="64"/>
      </patternFill>
    </fill>
    <fill>
      <patternFill patternType="solid">
        <fgColor indexed="44"/>
        <bgColor indexed="64"/>
      </patternFill>
    </fill>
    <fill>
      <patternFill patternType="solid">
        <fgColor indexed="49"/>
        <bgColor indexed="64"/>
      </patternFill>
    </fill>
    <fill>
      <patternFill patternType="solid">
        <fgColor indexed="10"/>
        <bgColor indexed="64"/>
      </patternFill>
    </fill>
    <fill>
      <patternFill patternType="solid">
        <fgColor indexed="52"/>
        <bgColor indexed="64"/>
      </patternFill>
    </fill>
    <fill>
      <patternFill patternType="solid">
        <fgColor indexed="51"/>
        <bgColor indexed="64"/>
      </patternFill>
    </fill>
    <fill>
      <patternFill patternType="solid">
        <fgColor indexed="42"/>
        <bgColor indexed="64"/>
      </patternFill>
    </fill>
    <fill>
      <patternFill patternType="solid">
        <fgColor rgb="FFFFFF00"/>
        <bgColor indexed="64"/>
      </patternFill>
    </fill>
    <fill>
      <patternFill patternType="solid">
        <fgColor rgb="FF3366FF"/>
        <bgColor indexed="64"/>
      </patternFill>
    </fill>
    <fill>
      <patternFill patternType="solid">
        <fgColor rgb="FF00B0F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1"/>
        <bgColor indexed="64"/>
      </patternFill>
    </fill>
    <fill>
      <patternFill patternType="solid">
        <fgColor rgb="FF0066FF"/>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theme="0"/>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s>
  <cellStyleXfs count="3">
    <xf numFmtId="0" fontId="0" fillId="0" borderId="0"/>
    <xf numFmtId="43" fontId="2" fillId="0" borderId="0" applyFont="0" applyFill="0" applyBorder="0" applyAlignment="0" applyProtection="0"/>
    <xf numFmtId="44" fontId="2" fillId="0" borderId="0" applyFont="0" applyFill="0" applyBorder="0" applyAlignment="0" applyProtection="0"/>
  </cellStyleXfs>
  <cellXfs count="5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xf numFmtId="0" fontId="9" fillId="0" borderId="0" xfId="0" applyFont="1"/>
    <xf numFmtId="0" fontId="11" fillId="0" borderId="0" xfId="0" applyFon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0" borderId="0" xfId="0" applyBorder="1"/>
    <xf numFmtId="0" fontId="0" fillId="3" borderId="0" xfId="0" applyFill="1" applyBorder="1"/>
    <xf numFmtId="0" fontId="0" fillId="2" borderId="5" xfId="0" applyFill="1" applyBorder="1"/>
    <xf numFmtId="0" fontId="0" fillId="2" borderId="0" xfId="0" applyFill="1" applyBorder="1"/>
    <xf numFmtId="0" fontId="0" fillId="2" borderId="6" xfId="0" applyFill="1" applyBorder="1"/>
    <xf numFmtId="0" fontId="0" fillId="2" borderId="7" xfId="0" applyFill="1" applyBorder="1"/>
    <xf numFmtId="0" fontId="0" fillId="2" borderId="8" xfId="0" applyFill="1" applyBorder="1"/>
    <xf numFmtId="0" fontId="0" fillId="0" borderId="0" xfId="0" applyAlignment="1">
      <alignment horizontal="center"/>
    </xf>
    <xf numFmtId="0" fontId="14" fillId="0" borderId="0" xfId="0" applyFont="1" applyAlignment="1">
      <alignment vertical="center" textRotation="90"/>
    </xf>
    <xf numFmtId="0" fontId="14" fillId="0" borderId="0" xfId="0" applyFont="1" applyAlignment="1">
      <alignment horizontal="center" vertical="center" textRotation="90"/>
    </xf>
    <xf numFmtId="0" fontId="18" fillId="4" borderId="9" xfId="0" applyFont="1" applyFill="1" applyBorder="1" applyAlignment="1">
      <alignment horizontal="center" vertical="center"/>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10" xfId="0" applyFont="1" applyFill="1" applyBorder="1" applyAlignment="1">
      <alignment horizontal="center" vertical="center"/>
    </xf>
    <xf numFmtId="0" fontId="16" fillId="0" borderId="9"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6" fillId="0" borderId="1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6" fillId="0" borderId="0" xfId="0" applyFont="1" applyAlignment="1">
      <alignment horizontal="center"/>
    </xf>
    <xf numFmtId="20" fontId="0" fillId="0" borderId="0" xfId="0" applyNumberFormat="1"/>
    <xf numFmtId="14" fontId="16" fillId="0" borderId="0" xfId="0" applyNumberFormat="1" applyFont="1" applyAlignment="1">
      <alignment horizontal="center"/>
    </xf>
    <xf numFmtId="0" fontId="0" fillId="0" borderId="0" xfId="0" applyAlignment="1">
      <alignment vertical="top"/>
    </xf>
    <xf numFmtId="0" fontId="16" fillId="0" borderId="0" xfId="0" applyFont="1"/>
    <xf numFmtId="0" fontId="20" fillId="5" borderId="0" xfId="0" applyFont="1" applyFill="1"/>
    <xf numFmtId="0" fontId="0" fillId="7" borderId="1" xfId="0" applyFill="1" applyBorder="1"/>
    <xf numFmtId="0" fontId="0" fillId="7" borderId="2" xfId="0" applyFill="1" applyBorder="1"/>
    <xf numFmtId="0" fontId="0" fillId="7" borderId="4" xfId="0" applyFill="1" applyBorder="1"/>
    <xf numFmtId="0" fontId="0" fillId="7" borderId="0" xfId="0" applyFill="1" applyBorder="1"/>
    <xf numFmtId="0" fontId="0" fillId="7" borderId="6" xfId="0" applyFill="1" applyBorder="1"/>
    <xf numFmtId="0" fontId="0" fillId="7" borderId="7" xfId="0" applyFill="1" applyBorder="1"/>
    <xf numFmtId="0" fontId="0" fillId="7" borderId="3" xfId="0" applyFill="1" applyBorder="1"/>
    <xf numFmtId="0" fontId="0" fillId="7" borderId="5" xfId="0" applyFill="1" applyBorder="1"/>
    <xf numFmtId="0" fontId="0" fillId="7" borderId="8" xfId="0" applyFill="1" applyBorder="1"/>
    <xf numFmtId="0" fontId="0" fillId="0" borderId="0" xfId="0" applyFill="1" applyBorder="1"/>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18" fillId="0" borderId="15" xfId="0" applyFont="1" applyBorder="1" applyAlignment="1">
      <alignment horizontal="center" vertical="center"/>
    </xf>
    <xf numFmtId="0" fontId="21" fillId="0" borderId="18" xfId="0" applyFont="1" applyBorder="1" applyAlignment="1">
      <alignment horizontal="center" vertical="center"/>
    </xf>
    <xf numFmtId="0" fontId="19" fillId="8" borderId="16" xfId="0" applyFont="1" applyFill="1" applyBorder="1" applyAlignment="1">
      <alignment horizontal="center"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19" fillId="8" borderId="18" xfId="0" applyFont="1" applyFill="1" applyBorder="1" applyAlignment="1">
      <alignment horizontal="center" vertical="center"/>
    </xf>
    <xf numFmtId="0" fontId="18" fillId="0" borderId="20" xfId="0" applyFont="1" applyBorder="1" applyAlignment="1">
      <alignment horizontal="center" vertical="center"/>
    </xf>
    <xf numFmtId="0" fontId="18" fillId="0" borderId="12"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vertical="center"/>
    </xf>
    <xf numFmtId="0" fontId="21" fillId="0" borderId="12" xfId="0" applyFont="1" applyBorder="1" applyAlignment="1">
      <alignment horizontal="center" vertical="center"/>
    </xf>
    <xf numFmtId="0" fontId="12" fillId="5" borderId="22" xfId="0" applyFont="1" applyFill="1" applyBorder="1" applyAlignment="1">
      <alignment horizontal="center"/>
    </xf>
    <xf numFmtId="0" fontId="0" fillId="2" borderId="23" xfId="0" applyFill="1" applyBorder="1"/>
    <xf numFmtId="0" fontId="0" fillId="2" borderId="24" xfId="0" applyFill="1" applyBorder="1" applyAlignment="1">
      <alignment horizontal="justify" vertical="top" wrapText="1"/>
    </xf>
    <xf numFmtId="0" fontId="0" fillId="2" borderId="24" xfId="0" applyFill="1" applyBorder="1"/>
    <xf numFmtId="0" fontId="0" fillId="2" borderId="25" xfId="0" applyFill="1" applyBorder="1"/>
    <xf numFmtId="0" fontId="12" fillId="5" borderId="24" xfId="0" applyFont="1" applyFill="1" applyBorder="1" applyAlignment="1">
      <alignment horizontal="justify" vertical="top" wrapText="1"/>
    </xf>
    <xf numFmtId="0" fontId="22" fillId="0" borderId="0" xfId="0" applyFont="1"/>
    <xf numFmtId="0" fontId="24" fillId="2" borderId="26" xfId="0" applyNumberFormat="1" applyFont="1" applyFill="1" applyBorder="1" applyAlignment="1">
      <alignment horizontal="center"/>
    </xf>
    <xf numFmtId="0" fontId="25" fillId="0" borderId="13" xfId="0" applyFont="1" applyBorder="1" applyAlignment="1">
      <alignment horizontal="center"/>
    </xf>
    <xf numFmtId="0" fontId="0" fillId="0" borderId="17" xfId="0" applyNumberFormat="1" applyBorder="1" applyAlignment="1">
      <alignment horizontal="left"/>
    </xf>
    <xf numFmtId="0" fontId="0" fillId="0" borderId="17" xfId="0" applyNumberFormat="1" applyBorder="1" applyAlignment="1">
      <alignment horizontal="center"/>
    </xf>
    <xf numFmtId="0" fontId="0" fillId="0" borderId="17" xfId="0" applyNumberFormat="1" applyBorder="1" applyAlignment="1">
      <alignment horizontal="right"/>
    </xf>
    <xf numFmtId="0" fontId="25" fillId="0" borderId="15" xfId="0" applyNumberFormat="1" applyFont="1" applyBorder="1" applyAlignment="1">
      <alignment horizontal="center"/>
    </xf>
    <xf numFmtId="0" fontId="25" fillId="0" borderId="19" xfId="0" applyFont="1" applyBorder="1" applyAlignment="1">
      <alignment horizontal="center"/>
    </xf>
    <xf numFmtId="0" fontId="0" fillId="0" borderId="9" xfId="0" applyNumberFormat="1" applyBorder="1" applyAlignment="1">
      <alignment horizontal="left"/>
    </xf>
    <xf numFmtId="0" fontId="0" fillId="0" borderId="9" xfId="0" applyNumberFormat="1" applyBorder="1" applyAlignment="1">
      <alignment horizontal="center"/>
    </xf>
    <xf numFmtId="0" fontId="0" fillId="0" borderId="9" xfId="0" applyNumberFormat="1" applyBorder="1" applyAlignment="1">
      <alignment horizontal="right"/>
    </xf>
    <xf numFmtId="0" fontId="25" fillId="0" borderId="10" xfId="0" applyNumberFormat="1" applyFont="1" applyBorder="1" applyAlignment="1">
      <alignment horizontal="center"/>
    </xf>
    <xf numFmtId="0" fontId="25" fillId="0" borderId="20" xfId="0" applyFont="1" applyBorder="1" applyAlignment="1">
      <alignment horizontal="center"/>
    </xf>
    <xf numFmtId="0" fontId="0" fillId="0" borderId="11" xfId="0" applyNumberFormat="1" applyBorder="1" applyAlignment="1">
      <alignment horizontal="left"/>
    </xf>
    <xf numFmtId="0" fontId="0" fillId="0" borderId="11" xfId="0" applyNumberFormat="1" applyBorder="1" applyAlignment="1">
      <alignment horizontal="center"/>
    </xf>
    <xf numFmtId="0" fontId="0" fillId="0" borderId="11" xfId="0" applyNumberFormat="1" applyBorder="1" applyAlignment="1">
      <alignment horizontal="right"/>
    </xf>
    <xf numFmtId="0" fontId="25" fillId="0" borderId="12" xfId="0" applyNumberFormat="1" applyFont="1" applyBorder="1" applyAlignment="1">
      <alignment horizontal="center"/>
    </xf>
    <xf numFmtId="0" fontId="0" fillId="0" borderId="17" xfId="0" applyBorder="1" applyAlignment="1">
      <alignment horizontal="center"/>
    </xf>
    <xf numFmtId="0" fontId="0" fillId="0" borderId="17" xfId="0" applyBorder="1" applyAlignment="1">
      <alignment horizontal="left"/>
    </xf>
    <xf numFmtId="0" fontId="0" fillId="0" borderId="15" xfId="0" applyBorder="1" applyAlignment="1">
      <alignment horizontal="center"/>
    </xf>
    <xf numFmtId="0" fontId="0" fillId="0" borderId="9" xfId="0" applyBorder="1"/>
    <xf numFmtId="0" fontId="0" fillId="0" borderId="9" xfId="0" applyBorder="1" applyAlignment="1">
      <alignment horizontal="left"/>
    </xf>
    <xf numFmtId="0" fontId="25" fillId="0" borderId="10" xfId="0" applyFont="1" applyBorder="1" applyAlignment="1">
      <alignment horizontal="center"/>
    </xf>
    <xf numFmtId="0" fontId="0" fillId="0" borderId="11" xfId="0" applyBorder="1"/>
    <xf numFmtId="0" fontId="0" fillId="0" borderId="11" xfId="0" applyBorder="1" applyAlignment="1">
      <alignment horizontal="left"/>
    </xf>
    <xf numFmtId="0" fontId="25" fillId="0" borderId="12" xfId="0" applyFont="1" applyBorder="1" applyAlignment="1">
      <alignment horizontal="center"/>
    </xf>
    <xf numFmtId="0" fontId="0" fillId="0" borderId="17" xfId="0" applyBorder="1"/>
    <xf numFmtId="0" fontId="25" fillId="0" borderId="15" xfId="0" applyFont="1" applyBorder="1" applyAlignment="1">
      <alignment horizontal="center"/>
    </xf>
    <xf numFmtId="0" fontId="25" fillId="0" borderId="27" xfId="0" applyFont="1" applyBorder="1" applyAlignment="1">
      <alignment horizontal="center"/>
    </xf>
    <xf numFmtId="0" fontId="0" fillId="0" borderId="28" xfId="0" applyBorder="1"/>
    <xf numFmtId="0" fontId="0" fillId="0" borderId="28" xfId="0" applyBorder="1" applyAlignment="1">
      <alignment horizontal="center"/>
    </xf>
    <xf numFmtId="0" fontId="0" fillId="0" borderId="28" xfId="0" applyBorder="1" applyAlignment="1">
      <alignment horizontal="left"/>
    </xf>
    <xf numFmtId="0" fontId="25" fillId="0" borderId="29" xfId="0" applyFont="1" applyBorder="1" applyAlignment="1">
      <alignment horizontal="center"/>
    </xf>
    <xf numFmtId="0" fontId="26" fillId="0" borderId="0" xfId="0" applyFont="1" applyAlignment="1">
      <alignment horizontal="center"/>
    </xf>
    <xf numFmtId="0" fontId="0" fillId="0" borderId="0" xfId="0" applyAlignment="1">
      <alignment horizontal="left"/>
    </xf>
    <xf numFmtId="0" fontId="24" fillId="0" borderId="0" xfId="0" applyFont="1" applyAlignment="1">
      <alignment horizontal="center"/>
    </xf>
    <xf numFmtId="0" fontId="0" fillId="0" borderId="26" xfId="0" applyBorder="1"/>
    <xf numFmtId="0" fontId="0" fillId="0" borderId="26" xfId="0" applyBorder="1" applyAlignment="1">
      <alignment horizontal="center"/>
    </xf>
    <xf numFmtId="0" fontId="0" fillId="0" borderId="26" xfId="0" applyBorder="1" applyAlignment="1">
      <alignment horizontal="left"/>
    </xf>
    <xf numFmtId="0" fontId="25" fillId="0" borderId="30" xfId="0" applyFont="1" applyBorder="1" applyAlignment="1">
      <alignment horizontal="center"/>
    </xf>
    <xf numFmtId="0" fontId="25" fillId="0" borderId="31" xfId="0" applyFont="1" applyBorder="1" applyAlignment="1">
      <alignment horizontal="center"/>
    </xf>
    <xf numFmtId="14" fontId="0" fillId="0" borderId="0" xfId="0" applyNumberFormat="1"/>
    <xf numFmtId="0" fontId="0" fillId="10" borderId="1" xfId="0" applyFill="1" applyBorder="1"/>
    <xf numFmtId="0" fontId="0" fillId="10" borderId="2" xfId="0" applyFill="1" applyBorder="1"/>
    <xf numFmtId="0" fontId="0" fillId="10" borderId="3" xfId="0" applyFill="1" applyBorder="1"/>
    <xf numFmtId="0" fontId="0" fillId="10" borderId="4" xfId="0" applyFill="1" applyBorder="1"/>
    <xf numFmtId="0" fontId="0" fillId="10" borderId="5" xfId="0" applyFill="1" applyBorder="1"/>
    <xf numFmtId="0" fontId="0" fillId="10" borderId="6" xfId="0" applyFill="1" applyBorder="1"/>
    <xf numFmtId="0" fontId="0" fillId="10" borderId="7" xfId="0" applyFill="1" applyBorder="1"/>
    <xf numFmtId="0" fontId="0" fillId="10" borderId="8" xfId="0" applyFill="1" applyBorder="1"/>
    <xf numFmtId="20" fontId="0" fillId="0" borderId="0" xfId="0" applyNumberFormat="1" applyAlignment="1">
      <alignment horizontal="center"/>
    </xf>
    <xf numFmtId="0" fontId="18" fillId="0" borderId="9" xfId="0" applyFont="1" applyBorder="1" applyAlignment="1">
      <alignment horizontal="center" vertical="center"/>
    </xf>
    <xf numFmtId="0" fontId="19" fillId="0" borderId="9" xfId="0" applyFont="1" applyBorder="1" applyAlignment="1">
      <alignment horizontal="center" vertical="center" wrapText="1"/>
    </xf>
    <xf numFmtId="15" fontId="16" fillId="0" borderId="9" xfId="0" applyNumberFormat="1" applyFont="1" applyBorder="1" applyAlignment="1">
      <alignment horizontal="center"/>
    </xf>
    <xf numFmtId="0" fontId="16" fillId="0" borderId="0" xfId="0" applyFont="1" applyFill="1" applyBorder="1" applyAlignment="1">
      <alignment horizontal="center"/>
    </xf>
    <xf numFmtId="0" fontId="16" fillId="0" borderId="19" xfId="0" applyFont="1" applyBorder="1" applyAlignment="1">
      <alignment horizontal="center"/>
    </xf>
    <xf numFmtId="0" fontId="16" fillId="0" borderId="20" xfId="0" applyFont="1" applyBorder="1" applyAlignment="1">
      <alignment horizontal="center"/>
    </xf>
    <xf numFmtId="15" fontId="16" fillId="0" borderId="11" xfId="0" applyNumberFormat="1" applyFont="1" applyBorder="1" applyAlignment="1">
      <alignment horizontal="center"/>
    </xf>
    <xf numFmtId="0" fontId="30" fillId="0" borderId="0" xfId="0" applyFont="1"/>
    <xf numFmtId="0" fontId="31" fillId="0" borderId="0" xfId="0" applyFont="1"/>
    <xf numFmtId="0" fontId="0" fillId="0" borderId="0" xfId="0" applyAlignment="1">
      <alignment horizontal="center" vertical="center"/>
    </xf>
    <xf numFmtId="20" fontId="0" fillId="0" borderId="9" xfId="0" applyNumberFormat="1" applyBorder="1" applyAlignment="1">
      <alignment horizontal="center"/>
    </xf>
    <xf numFmtId="20" fontId="0" fillId="0" borderId="19" xfId="0" applyNumberFormat="1" applyBorder="1" applyAlignment="1">
      <alignment horizontal="center"/>
    </xf>
    <xf numFmtId="20" fontId="0" fillId="0" borderId="20" xfId="0" applyNumberFormat="1" applyBorder="1" applyAlignment="1">
      <alignment horizontal="center"/>
    </xf>
    <xf numFmtId="20" fontId="0" fillId="0" borderId="11" xfId="0" applyNumberFormat="1" applyBorder="1" applyAlignment="1">
      <alignment horizontal="center"/>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wrapText="1"/>
    </xf>
    <xf numFmtId="0" fontId="0" fillId="0" borderId="27" xfId="0" applyBorder="1" applyAlignment="1">
      <alignment horizontal="center" vertical="center"/>
    </xf>
    <xf numFmtId="0" fontId="16" fillId="4" borderId="32" xfId="0" applyFont="1" applyFill="1" applyBorder="1" applyAlignment="1">
      <alignment horizontal="center" vertical="center"/>
    </xf>
    <xf numFmtId="20" fontId="0" fillId="0" borderId="27" xfId="0" applyNumberFormat="1" applyBorder="1" applyAlignment="1">
      <alignment horizontal="center"/>
    </xf>
    <xf numFmtId="20" fontId="0" fillId="0" borderId="28" xfId="0" applyNumberFormat="1" applyBorder="1" applyAlignment="1">
      <alignment horizontal="center"/>
    </xf>
    <xf numFmtId="0" fontId="0" fillId="0" borderId="29" xfId="0" applyBorder="1" applyAlignment="1">
      <alignment horizontal="center"/>
    </xf>
    <xf numFmtId="0" fontId="16" fillId="4" borderId="20" xfId="0" applyFont="1" applyFill="1" applyBorder="1" applyAlignment="1">
      <alignment horizontal="center"/>
    </xf>
    <xf numFmtId="0" fontId="16" fillId="4" borderId="11" xfId="0" applyFont="1" applyFill="1" applyBorder="1" applyAlignment="1">
      <alignment horizontal="center"/>
    </xf>
    <xf numFmtId="0" fontId="16" fillId="4" borderId="33" xfId="0" applyFont="1" applyFill="1" applyBorder="1" applyAlignment="1">
      <alignment horizontal="center" vertical="center" wrapText="1"/>
    </xf>
    <xf numFmtId="0" fontId="0" fillId="0" borderId="29" xfId="0" applyBorder="1" applyAlignment="1">
      <alignment horizontal="justify" vertical="center" wrapText="1"/>
    </xf>
    <xf numFmtId="0" fontId="0" fillId="0" borderId="10" xfId="0" applyBorder="1" applyAlignment="1">
      <alignment horizontal="justify" vertical="center" wrapText="1"/>
    </xf>
    <xf numFmtId="0" fontId="0" fillId="0" borderId="12" xfId="0" applyBorder="1" applyAlignment="1">
      <alignment horizontal="justify" vertical="center" wrapText="1"/>
    </xf>
    <xf numFmtId="0" fontId="12" fillId="5" borderId="22" xfId="0" applyFont="1" applyFill="1" applyBorder="1" applyAlignment="1">
      <alignment horizontal="center" vertical="center" textRotation="90" wrapText="1"/>
    </xf>
    <xf numFmtId="0" fontId="0" fillId="0" borderId="13" xfId="0" applyBorder="1" applyAlignment="1">
      <alignment vertical="center"/>
    </xf>
    <xf numFmtId="0" fontId="0" fillId="0" borderId="17" xfId="0" applyBorder="1" applyAlignment="1">
      <alignment horizontal="center" vertical="center"/>
    </xf>
    <xf numFmtId="0" fontId="0" fillId="0" borderId="15"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2" fillId="6" borderId="22" xfId="0" applyFont="1" applyFill="1" applyBorder="1" applyAlignment="1">
      <alignment horizontal="center" vertical="center" textRotation="90" wrapText="1"/>
    </xf>
    <xf numFmtId="0" fontId="16" fillId="4" borderId="9" xfId="0" applyFont="1" applyFill="1" applyBorder="1" applyAlignment="1">
      <alignment horizontal="center"/>
    </xf>
    <xf numFmtId="0" fontId="33" fillId="11" borderId="9" xfId="0" applyFont="1" applyFill="1" applyBorder="1" applyAlignment="1">
      <alignment horizontal="center"/>
    </xf>
    <xf numFmtId="0" fontId="16"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justify" vertical="center" wrapText="1"/>
    </xf>
    <xf numFmtId="0" fontId="0" fillId="0" borderId="0" xfId="0" applyAlignment="1">
      <alignment horizontal="left" vertical="center" wrapText="1"/>
    </xf>
    <xf numFmtId="0" fontId="1" fillId="0" borderId="0" xfId="0" applyFont="1" applyAlignment="1">
      <alignment horizontal="center"/>
    </xf>
    <xf numFmtId="0" fontId="1" fillId="0" borderId="0" xfId="0" applyFont="1"/>
    <xf numFmtId="0" fontId="36" fillId="0" borderId="0" xfId="0" applyFont="1" applyAlignment="1">
      <alignment horizontal="center" vertical="center" wrapText="1"/>
    </xf>
    <xf numFmtId="0" fontId="37" fillId="0" borderId="0" xfId="0" applyFont="1" applyBorder="1" applyAlignment="1">
      <alignment horizontal="left" vertical="top" wrapText="1"/>
    </xf>
    <xf numFmtId="0" fontId="37" fillId="0" borderId="0" xfId="0" applyFont="1"/>
    <xf numFmtId="0" fontId="37" fillId="0" borderId="0" xfId="0" applyFont="1" applyAlignment="1">
      <alignment horizontal="center"/>
    </xf>
    <xf numFmtId="0" fontId="37" fillId="0" borderId="0" xfId="0" applyFont="1" applyAlignment="1">
      <alignment vertical="center" wrapText="1"/>
    </xf>
    <xf numFmtId="0" fontId="16" fillId="0" borderId="0" xfId="0" applyFont="1" applyAlignment="1">
      <alignment horizontal="center" vertical="center"/>
    </xf>
    <xf numFmtId="0" fontId="16" fillId="0" borderId="0" xfId="0" applyFont="1" applyFill="1" applyBorder="1" applyAlignment="1">
      <alignment horizontal="center" vertical="center" wrapText="1"/>
    </xf>
    <xf numFmtId="0" fontId="37" fillId="0" borderId="0" xfId="0" applyFont="1" applyBorder="1" applyAlignment="1">
      <alignment horizontal="justify" vertical="top" wrapText="1"/>
    </xf>
    <xf numFmtId="0" fontId="25" fillId="0" borderId="27" xfId="0" applyFont="1" applyFill="1" applyBorder="1" applyAlignment="1">
      <alignment horizontal="center"/>
    </xf>
    <xf numFmtId="0" fontId="0" fillId="0" borderId="28" xfId="0" applyFill="1" applyBorder="1"/>
    <xf numFmtId="0" fontId="0" fillId="0" borderId="28" xfId="0" applyFill="1" applyBorder="1" applyAlignment="1">
      <alignment horizontal="center"/>
    </xf>
    <xf numFmtId="0" fontId="0" fillId="0" borderId="17" xfId="0" applyFill="1" applyBorder="1" applyAlignment="1">
      <alignment horizontal="left"/>
    </xf>
    <xf numFmtId="0" fontId="0" fillId="0" borderId="17" xfId="0" applyFill="1" applyBorder="1" applyAlignment="1">
      <alignment horizontal="center"/>
    </xf>
    <xf numFmtId="0" fontId="25" fillId="0" borderId="29" xfId="0" applyFont="1" applyFill="1" applyBorder="1" applyAlignment="1">
      <alignment horizontal="center"/>
    </xf>
    <xf numFmtId="0" fontId="25" fillId="0" borderId="19" xfId="0" applyFont="1" applyFill="1" applyBorder="1" applyAlignment="1">
      <alignment horizontal="center"/>
    </xf>
    <xf numFmtId="0" fontId="0" fillId="0" borderId="9" xfId="0" applyFill="1" applyBorder="1"/>
    <xf numFmtId="0" fontId="0" fillId="0" borderId="9" xfId="0" applyFill="1" applyBorder="1" applyAlignment="1">
      <alignment horizontal="center"/>
    </xf>
    <xf numFmtId="0" fontId="0" fillId="0" borderId="9" xfId="0" applyFill="1" applyBorder="1" applyAlignment="1">
      <alignment horizontal="left"/>
    </xf>
    <xf numFmtId="0" fontId="25" fillId="0" borderId="10" xfId="0" applyFont="1" applyFill="1" applyBorder="1" applyAlignment="1">
      <alignment horizontal="center"/>
    </xf>
    <xf numFmtId="0" fontId="25" fillId="0" borderId="20" xfId="0" applyFont="1" applyFill="1" applyBorder="1" applyAlignment="1">
      <alignment horizontal="center"/>
    </xf>
    <xf numFmtId="0" fontId="0" fillId="0" borderId="11" xfId="0" applyFill="1" applyBorder="1"/>
    <xf numFmtId="0" fontId="0" fillId="0" borderId="11" xfId="0" applyFill="1" applyBorder="1" applyAlignment="1">
      <alignment horizontal="center"/>
    </xf>
    <xf numFmtId="0" fontId="0" fillId="0" borderId="11" xfId="0" applyFill="1" applyBorder="1" applyAlignment="1">
      <alignment horizontal="left"/>
    </xf>
    <xf numFmtId="0" fontId="25" fillId="0" borderId="12" xfId="0" applyFont="1" applyFill="1" applyBorder="1" applyAlignment="1">
      <alignment horizontal="center"/>
    </xf>
    <xf numFmtId="0" fontId="38" fillId="7" borderId="0" xfId="0" applyFont="1" applyFill="1" applyBorder="1" applyAlignment="1">
      <alignment horizontal="center"/>
    </xf>
    <xf numFmtId="0" fontId="0" fillId="0" borderId="0" xfId="0" applyAlignment="1">
      <alignment horizontal="center" vertical="top"/>
    </xf>
    <xf numFmtId="0" fontId="42" fillId="5" borderId="26" xfId="0" applyFont="1" applyFill="1" applyBorder="1" applyAlignment="1">
      <alignment horizontal="center" vertical="center"/>
    </xf>
    <xf numFmtId="0" fontId="33" fillId="2" borderId="13" xfId="0" applyFont="1" applyFill="1" applyBorder="1" applyAlignment="1">
      <alignment horizontal="center" vertical="center"/>
    </xf>
    <xf numFmtId="0" fontId="12" fillId="9" borderId="15" xfId="0" applyFont="1" applyFill="1" applyBorder="1" applyAlignment="1">
      <alignment horizontal="center" vertical="center"/>
    </xf>
    <xf numFmtId="3" fontId="12" fillId="6" borderId="12" xfId="0" applyNumberFormat="1" applyFont="1" applyFill="1" applyBorder="1" applyAlignment="1">
      <alignment horizontal="center"/>
    </xf>
    <xf numFmtId="0" fontId="2" fillId="0" borderId="0" xfId="0" applyFont="1"/>
    <xf numFmtId="0" fontId="2" fillId="13" borderId="0" xfId="0" applyFont="1" applyFill="1"/>
    <xf numFmtId="0" fontId="44" fillId="0" borderId="0" xfId="0" applyFont="1"/>
    <xf numFmtId="0" fontId="0" fillId="0" borderId="27" xfId="0" applyBorder="1" applyAlignment="1">
      <alignment vertical="center"/>
    </xf>
    <xf numFmtId="0" fontId="0" fillId="0" borderId="28" xfId="0" applyBorder="1" applyAlignment="1">
      <alignment horizontal="center" vertical="center"/>
    </xf>
    <xf numFmtId="0" fontId="0" fillId="0" borderId="29" xfId="0" applyBorder="1" applyAlignment="1">
      <alignment vertical="center" wrapText="1"/>
    </xf>
    <xf numFmtId="0" fontId="18" fillId="0" borderId="15" xfId="0" applyFont="1" applyBorder="1" applyAlignment="1">
      <alignment horizontal="center" vertical="center" wrapText="1"/>
    </xf>
    <xf numFmtId="0" fontId="18" fillId="0" borderId="29" xfId="0" applyFont="1" applyBorder="1" applyAlignment="1">
      <alignment horizontal="center" vertical="center" wrapText="1"/>
    </xf>
    <xf numFmtId="0" fontId="0" fillId="0" borderId="30" xfId="0" applyBorder="1" applyAlignment="1">
      <alignment vertical="center"/>
    </xf>
    <xf numFmtId="0" fontId="0" fillId="0" borderId="26" xfId="0" applyBorder="1" applyAlignment="1">
      <alignment horizontal="center" vertical="center"/>
    </xf>
    <xf numFmtId="0" fontId="2" fillId="0" borderId="9" xfId="0" applyFont="1" applyBorder="1" applyAlignment="1">
      <alignment horizontal="center" vertical="center"/>
    </xf>
    <xf numFmtId="0" fontId="18" fillId="0" borderId="10" xfId="0" applyFont="1" applyBorder="1" applyAlignment="1">
      <alignment horizontal="center" vertical="center" wrapText="1"/>
    </xf>
    <xf numFmtId="0" fontId="18" fillId="0" borderId="12" xfId="0" applyFont="1" applyBorder="1" applyAlignment="1">
      <alignment horizontal="center" vertical="center" wrapText="1"/>
    </xf>
    <xf numFmtId="0" fontId="2" fillId="0" borderId="29" xfId="0" applyFont="1" applyBorder="1" applyAlignment="1">
      <alignment vertical="center" wrapText="1"/>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45" fillId="0" borderId="0" xfId="0" applyFont="1" applyAlignment="1">
      <alignment horizontal="right" vertical="center"/>
    </xf>
    <xf numFmtId="0" fontId="43"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16" fillId="0" borderId="27" xfId="0" applyFont="1" applyBorder="1" applyAlignment="1">
      <alignment horizontal="center" vertical="center"/>
    </xf>
    <xf numFmtId="0" fontId="0" fillId="0" borderId="39" xfId="0" applyBorder="1"/>
    <xf numFmtId="0" fontId="46" fillId="13" borderId="40" xfId="0" applyFont="1" applyFill="1" applyBorder="1" applyAlignment="1">
      <alignment horizontal="center"/>
    </xf>
    <xf numFmtId="0" fontId="46" fillId="13" borderId="22" xfId="0" applyFont="1" applyFill="1" applyBorder="1" applyAlignment="1">
      <alignment horizontal="center"/>
    </xf>
    <xf numFmtId="0" fontId="46" fillId="13" borderId="22" xfId="0" applyFont="1" applyFill="1" applyBorder="1" applyAlignment="1">
      <alignment horizontal="center" vertical="center"/>
    </xf>
    <xf numFmtId="0" fontId="25"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left"/>
    </xf>
    <xf numFmtId="43" fontId="11" fillId="0" borderId="0" xfId="1" applyFont="1"/>
    <xf numFmtId="164" fontId="11" fillId="0" borderId="0" xfId="1" applyNumberFormat="1" applyFont="1" applyAlignment="1">
      <alignment horizontal="center" vertical="center"/>
    </xf>
    <xf numFmtId="3" fontId="11" fillId="0" borderId="0" xfId="1" applyNumberFormat="1" applyFont="1" applyAlignment="1">
      <alignment horizontal="center" vertical="center"/>
    </xf>
    <xf numFmtId="3" fontId="0" fillId="0" borderId="0" xfId="0" applyNumberFormat="1"/>
    <xf numFmtId="0" fontId="18" fillId="0" borderId="0" xfId="0" applyFont="1" applyAlignment="1">
      <alignment horizontal="center" vertical="center"/>
    </xf>
    <xf numFmtId="0" fontId="18" fillId="0" borderId="0" xfId="0" applyFont="1"/>
    <xf numFmtId="3" fontId="18" fillId="0" borderId="0" xfId="0" applyNumberFormat="1" applyFont="1" applyAlignment="1">
      <alignment horizontal="center"/>
    </xf>
    <xf numFmtId="0" fontId="48" fillId="0" borderId="0" xfId="0" applyFont="1"/>
    <xf numFmtId="0" fontId="51" fillId="18" borderId="55" xfId="0" applyFont="1" applyFill="1" applyBorder="1" applyAlignment="1" applyProtection="1">
      <alignment horizontal="center" vertical="center"/>
    </xf>
    <xf numFmtId="0" fontId="51" fillId="18" borderId="56" xfId="0" applyFont="1" applyFill="1" applyBorder="1" applyAlignment="1" applyProtection="1">
      <alignment vertical="center"/>
    </xf>
    <xf numFmtId="0" fontId="51" fillId="18" borderId="56" xfId="0" applyFont="1" applyFill="1" applyBorder="1" applyAlignment="1" applyProtection="1">
      <alignment horizontal="center" vertical="center" wrapText="1"/>
    </xf>
    <xf numFmtId="0" fontId="51" fillId="18" borderId="56" xfId="0" applyFont="1" applyFill="1" applyBorder="1" applyAlignment="1" applyProtection="1">
      <alignment horizontal="center" vertical="center"/>
    </xf>
    <xf numFmtId="0" fontId="18" fillId="0" borderId="27" xfId="0" applyFont="1" applyBorder="1" applyAlignment="1" applyProtection="1">
      <alignment horizontal="center" vertical="center"/>
    </xf>
    <xf numFmtId="0" fontId="18" fillId="0" borderId="28" xfId="0" applyFont="1" applyBorder="1" applyAlignment="1" applyProtection="1">
      <alignment horizontal="center" vertical="center"/>
    </xf>
    <xf numFmtId="3" fontId="18" fillId="0" borderId="29" xfId="0" applyNumberFormat="1" applyFont="1" applyBorder="1" applyAlignment="1" applyProtection="1">
      <alignment horizontal="center"/>
    </xf>
    <xf numFmtId="0" fontId="49" fillId="0" borderId="27" xfId="0" applyFont="1" applyBorder="1" applyAlignment="1" applyProtection="1">
      <alignment horizontal="center"/>
    </xf>
    <xf numFmtId="0" fontId="49" fillId="0" borderId="28" xfId="0" applyFont="1" applyBorder="1" applyAlignment="1" applyProtection="1">
      <alignment horizontal="center"/>
    </xf>
    <xf numFmtId="0" fontId="49" fillId="0" borderId="29" xfId="0" applyFont="1" applyBorder="1" applyAlignment="1" applyProtection="1">
      <alignment horizontal="center"/>
    </xf>
    <xf numFmtId="0" fontId="0" fillId="0" borderId="0" xfId="0" applyProtection="1"/>
    <xf numFmtId="0" fontId="18" fillId="0" borderId="19" xfId="0" applyFont="1" applyBorder="1" applyAlignment="1" applyProtection="1">
      <alignment horizontal="center" vertical="center"/>
    </xf>
    <xf numFmtId="0" fontId="18" fillId="0" borderId="9" xfId="0" applyFont="1" applyBorder="1" applyAlignment="1" applyProtection="1">
      <alignment horizontal="center" vertical="center"/>
    </xf>
    <xf numFmtId="3" fontId="18" fillId="0" borderId="10" xfId="0" applyNumberFormat="1" applyFont="1" applyBorder="1" applyAlignment="1" applyProtection="1">
      <alignment horizontal="center"/>
    </xf>
    <xf numFmtId="0" fontId="49" fillId="0" borderId="19" xfId="0" applyFont="1" applyBorder="1" applyAlignment="1" applyProtection="1">
      <alignment horizontal="center"/>
    </xf>
    <xf numFmtId="0" fontId="49" fillId="0" borderId="9" xfId="0" applyFont="1" applyBorder="1" applyAlignment="1" applyProtection="1">
      <alignment horizontal="center"/>
    </xf>
    <xf numFmtId="0" fontId="49" fillId="0" borderId="10" xfId="0" applyFont="1" applyBorder="1" applyAlignment="1" applyProtection="1">
      <alignment horizontal="center"/>
    </xf>
    <xf numFmtId="0" fontId="18" fillId="0" borderId="20" xfId="0" applyFont="1" applyBorder="1" applyAlignment="1" applyProtection="1">
      <alignment horizontal="center" vertical="center"/>
    </xf>
    <xf numFmtId="0" fontId="18" fillId="0" borderId="11" xfId="0" applyFont="1" applyBorder="1" applyAlignment="1" applyProtection="1">
      <alignment horizontal="center" vertical="center"/>
    </xf>
    <xf numFmtId="3" fontId="18" fillId="0" borderId="12" xfId="0" applyNumberFormat="1" applyFont="1" applyBorder="1" applyAlignment="1" applyProtection="1">
      <alignment horizontal="center"/>
    </xf>
    <xf numFmtId="0" fontId="49" fillId="0" borderId="20" xfId="0" applyFont="1" applyBorder="1" applyAlignment="1" applyProtection="1">
      <alignment horizontal="center"/>
    </xf>
    <xf numFmtId="0" fontId="49" fillId="0" borderId="11" xfId="0" applyFont="1" applyBorder="1" applyAlignment="1" applyProtection="1">
      <alignment horizontal="center"/>
    </xf>
    <xf numFmtId="0" fontId="49" fillId="0" borderId="12" xfId="0" applyFont="1" applyBorder="1" applyAlignment="1" applyProtection="1">
      <alignment horizontal="center"/>
    </xf>
    <xf numFmtId="0" fontId="18" fillId="0" borderId="13" xfId="0" applyFont="1" applyBorder="1" applyAlignment="1" applyProtection="1">
      <alignment horizontal="center" vertical="center"/>
    </xf>
    <xf numFmtId="0" fontId="18" fillId="0" borderId="17" xfId="0" applyFont="1" applyBorder="1" applyAlignment="1" applyProtection="1">
      <alignment horizontal="center" vertical="center"/>
    </xf>
    <xf numFmtId="3" fontId="18" fillId="0" borderId="15" xfId="0" applyNumberFormat="1" applyFont="1" applyBorder="1" applyAlignment="1" applyProtection="1">
      <alignment horizontal="center"/>
    </xf>
    <xf numFmtId="0" fontId="49" fillId="0" borderId="54" xfId="0" applyFont="1" applyBorder="1" applyAlignment="1" applyProtection="1">
      <alignment horizontal="center"/>
    </xf>
    <xf numFmtId="0" fontId="49" fillId="0" borderId="17" xfId="0" applyFont="1" applyBorder="1" applyAlignment="1" applyProtection="1">
      <alignment horizontal="center"/>
    </xf>
    <xf numFmtId="0" fontId="49" fillId="0" borderId="15" xfId="0" applyFont="1" applyBorder="1" applyAlignment="1" applyProtection="1">
      <alignment horizontal="center"/>
    </xf>
    <xf numFmtId="0" fontId="49" fillId="0" borderId="46" xfId="0" applyFont="1" applyBorder="1" applyAlignment="1" applyProtection="1">
      <alignment horizontal="center"/>
    </xf>
    <xf numFmtId="0" fontId="49" fillId="0" borderId="43" xfId="0" applyFont="1" applyBorder="1" applyAlignment="1" applyProtection="1">
      <alignment horizontal="center"/>
    </xf>
    <xf numFmtId="0" fontId="18" fillId="0" borderId="54" xfId="0" applyFont="1" applyBorder="1" applyAlignment="1" applyProtection="1">
      <alignment horizontal="center" vertical="center"/>
    </xf>
    <xf numFmtId="0" fontId="18" fillId="0" borderId="46" xfId="0" applyFont="1" applyBorder="1" applyAlignment="1" applyProtection="1">
      <alignment horizontal="center" vertical="center"/>
    </xf>
    <xf numFmtId="0" fontId="18" fillId="0" borderId="43"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0" xfId="0" applyFont="1" applyProtection="1"/>
    <xf numFmtId="3" fontId="18" fillId="0" borderId="0" xfId="0" applyNumberFormat="1" applyFont="1" applyAlignment="1" applyProtection="1">
      <alignment horizontal="center"/>
    </xf>
    <xf numFmtId="14" fontId="0" fillId="0" borderId="0" xfId="0" applyNumberFormat="1" applyProtection="1"/>
    <xf numFmtId="0" fontId="18" fillId="0" borderId="11" xfId="0" applyFont="1" applyBorder="1" applyAlignment="1">
      <alignment horizontal="center" vertical="center"/>
    </xf>
    <xf numFmtId="0" fontId="19" fillId="8" borderId="21" xfId="0" applyFont="1" applyFill="1" applyBorder="1" applyAlignment="1">
      <alignment horizontal="center" vertical="center"/>
    </xf>
    <xf numFmtId="0" fontId="19" fillId="8" borderId="14" xfId="0" applyFont="1" applyFill="1" applyBorder="1" applyAlignment="1">
      <alignment horizontal="center" vertical="center"/>
    </xf>
    <xf numFmtId="0" fontId="18" fillId="0" borderId="17" xfId="0" applyFont="1" applyBorder="1" applyAlignment="1">
      <alignment horizontal="center" vertical="center"/>
    </xf>
    <xf numFmtId="0" fontId="20" fillId="15" borderId="9" xfId="0" applyFont="1" applyFill="1" applyBorder="1" applyAlignment="1">
      <alignment horizontal="center" vertical="center"/>
    </xf>
    <xf numFmtId="0" fontId="18" fillId="0" borderId="13" xfId="0" applyFont="1" applyBorder="1" applyAlignment="1">
      <alignment horizontal="center" vertical="center"/>
    </xf>
    <xf numFmtId="0" fontId="11" fillId="0" borderId="13" xfId="0" applyFont="1" applyFill="1" applyBorder="1"/>
    <xf numFmtId="0" fontId="11" fillId="0" borderId="17" xfId="0" applyFont="1" applyBorder="1"/>
    <xf numFmtId="0" fontId="11" fillId="0" borderId="19" xfId="0" applyFont="1" applyFill="1" applyBorder="1"/>
    <xf numFmtId="0" fontId="11" fillId="0" borderId="9" xfId="0" applyFont="1" applyBorder="1"/>
    <xf numFmtId="0" fontId="11" fillId="0" borderId="20" xfId="0" applyFont="1" applyFill="1" applyBorder="1"/>
    <xf numFmtId="0" fontId="11" fillId="0" borderId="11" xfId="0" applyFont="1" applyBorder="1"/>
    <xf numFmtId="0" fontId="11" fillId="0" borderId="27" xfId="0" applyFont="1" applyFill="1" applyBorder="1"/>
    <xf numFmtId="0" fontId="11" fillId="0" borderId="28" xfId="0" applyFont="1" applyBorder="1"/>
    <xf numFmtId="0" fontId="11" fillId="0" borderId="30" xfId="0" applyFont="1" applyFill="1" applyBorder="1"/>
    <xf numFmtId="0" fontId="11" fillId="0" borderId="26" xfId="0" applyFont="1" applyBorder="1"/>
    <xf numFmtId="0" fontId="11" fillId="0" borderId="58" xfId="0" applyFont="1" applyBorder="1"/>
    <xf numFmtId="0" fontId="11" fillId="0" borderId="34" xfId="0" applyFont="1" applyBorder="1"/>
    <xf numFmtId="0" fontId="11" fillId="0" borderId="35" xfId="0" applyFont="1" applyBorder="1"/>
    <xf numFmtId="0" fontId="11" fillId="0" borderId="59" xfId="0" applyFont="1" applyBorder="1"/>
    <xf numFmtId="0" fontId="11" fillId="0" borderId="39" xfId="0" applyFont="1" applyBorder="1"/>
    <xf numFmtId="0" fontId="52" fillId="18" borderId="60" xfId="0" applyFont="1" applyFill="1" applyBorder="1" applyAlignment="1" applyProtection="1">
      <alignment horizontal="center" vertical="center" wrapText="1"/>
    </xf>
    <xf numFmtId="0" fontId="16" fillId="0" borderId="52" xfId="0" applyFont="1" applyBorder="1" applyAlignment="1">
      <alignment horizontal="center" vertical="center"/>
    </xf>
    <xf numFmtId="0" fontId="16" fillId="0" borderId="36" xfId="0" applyFont="1" applyBorder="1" applyAlignment="1">
      <alignment horizontal="center" vertical="center"/>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4" borderId="52" xfId="0" applyFont="1" applyFill="1" applyBorder="1" applyAlignment="1">
      <alignment horizontal="center" vertical="center"/>
    </xf>
    <xf numFmtId="0" fontId="16" fillId="4" borderId="36" xfId="0" applyFont="1" applyFill="1" applyBorder="1" applyAlignment="1">
      <alignment horizontal="center" vertical="center"/>
    </xf>
    <xf numFmtId="0" fontId="16" fillId="4" borderId="37" xfId="0" applyFont="1" applyFill="1" applyBorder="1" applyAlignment="1">
      <alignment horizontal="center" vertical="center"/>
    </xf>
    <xf numFmtId="0" fontId="53" fillId="16" borderId="46" xfId="0" applyFont="1" applyFill="1" applyBorder="1" applyAlignment="1" applyProtection="1">
      <alignment horizontal="center" vertical="center"/>
      <protection locked="0"/>
    </xf>
    <xf numFmtId="0" fontId="53" fillId="16" borderId="9" xfId="0" applyFont="1" applyFill="1" applyBorder="1" applyAlignment="1" applyProtection="1">
      <alignment horizontal="center" vertical="center"/>
      <protection locked="0"/>
    </xf>
    <xf numFmtId="0" fontId="1" fillId="2" borderId="24" xfId="0" applyFont="1" applyFill="1" applyBorder="1" applyAlignment="1">
      <alignment horizontal="justify" vertical="top" wrapText="1"/>
    </xf>
    <xf numFmtId="0" fontId="1" fillId="0" borderId="0" xfId="0" applyFont="1" applyAlignment="1">
      <alignment horizontal="left" vertical="center" wrapText="1"/>
    </xf>
    <xf numFmtId="0" fontId="39" fillId="5" borderId="2" xfId="0" applyFont="1" applyFill="1" applyBorder="1" applyAlignment="1">
      <alignment horizontal="center" vertical="center" textRotation="90"/>
    </xf>
    <xf numFmtId="0" fontId="39" fillId="5" borderId="3" xfId="0" applyFont="1" applyFill="1" applyBorder="1" applyAlignment="1">
      <alignment horizontal="center" vertical="center" textRotation="90"/>
    </xf>
    <xf numFmtId="0" fontId="39" fillId="5" borderId="0" xfId="0" applyFont="1" applyFill="1" applyBorder="1" applyAlignment="1">
      <alignment horizontal="center" vertical="center" textRotation="90"/>
    </xf>
    <xf numFmtId="0" fontId="39" fillId="5" borderId="5" xfId="0" applyFont="1" applyFill="1" applyBorder="1" applyAlignment="1">
      <alignment horizontal="center" vertical="center" textRotation="90"/>
    </xf>
    <xf numFmtId="0" fontId="39" fillId="5" borderId="7" xfId="0" applyFont="1" applyFill="1" applyBorder="1" applyAlignment="1">
      <alignment horizontal="center" vertical="center" textRotation="90"/>
    </xf>
    <xf numFmtId="0" fontId="39" fillId="5" borderId="8" xfId="0" applyFont="1" applyFill="1" applyBorder="1" applyAlignment="1">
      <alignment horizontal="center" vertical="center" textRotation="90"/>
    </xf>
    <xf numFmtId="3" fontId="20" fillId="9" borderId="9" xfId="0" applyNumberFormat="1" applyFont="1" applyFill="1" applyBorder="1" applyAlignment="1">
      <alignment horizontal="center" vertical="center"/>
    </xf>
    <xf numFmtId="0" fontId="20" fillId="9" borderId="9" xfId="0" applyFont="1" applyFill="1" applyBorder="1" applyAlignment="1">
      <alignment horizontal="center" vertical="center"/>
    </xf>
    <xf numFmtId="0" fontId="18" fillId="0" borderId="11" xfId="0" applyFont="1" applyBorder="1" applyAlignment="1">
      <alignment horizontal="center" vertical="center"/>
    </xf>
    <xf numFmtId="3" fontId="0" fillId="7" borderId="0" xfId="1" applyNumberFormat="1" applyFont="1" applyFill="1" applyBorder="1" applyAlignment="1">
      <alignment horizontal="center"/>
    </xf>
    <xf numFmtId="0" fontId="19" fillId="8" borderId="14" xfId="0" applyFont="1" applyFill="1" applyBorder="1" applyAlignment="1">
      <alignment horizontal="center" vertical="center"/>
    </xf>
    <xf numFmtId="14" fontId="33" fillId="0" borderId="17" xfId="0" applyNumberFormat="1" applyFont="1" applyFill="1" applyBorder="1" applyAlignment="1">
      <alignment horizontal="center" vertical="center"/>
    </xf>
    <xf numFmtId="0" fontId="33" fillId="0" borderId="17" xfId="0" applyFont="1" applyFill="1" applyBorder="1" applyAlignment="1">
      <alignment horizontal="center" vertical="center"/>
    </xf>
    <xf numFmtId="0" fontId="12" fillId="5" borderId="23" xfId="0" applyFont="1" applyFill="1" applyBorder="1" applyAlignment="1">
      <alignment horizontal="center" vertical="center" textRotation="90"/>
    </xf>
    <xf numFmtId="0" fontId="12" fillId="5" borderId="24" xfId="0" applyFont="1" applyFill="1" applyBorder="1" applyAlignment="1">
      <alignment horizontal="center" vertical="center" textRotation="90"/>
    </xf>
    <xf numFmtId="0" fontId="12" fillId="5" borderId="25" xfId="0" applyFont="1" applyFill="1" applyBorder="1" applyAlignment="1">
      <alignment horizontal="center" vertical="center" textRotation="90"/>
    </xf>
    <xf numFmtId="0" fontId="12" fillId="6" borderId="41" xfId="0" applyFont="1" applyFill="1" applyBorder="1" applyAlignment="1">
      <alignment horizontal="right"/>
    </xf>
    <xf numFmtId="0" fontId="12" fillId="6" borderId="42" xfId="0" applyFont="1" applyFill="1" applyBorder="1" applyAlignment="1">
      <alignment horizontal="right"/>
    </xf>
    <xf numFmtId="0" fontId="12" fillId="6" borderId="43" xfId="0" applyFont="1" applyFill="1" applyBorder="1" applyAlignment="1">
      <alignment horizontal="right"/>
    </xf>
    <xf numFmtId="0" fontId="18" fillId="0" borderId="17" xfId="0" applyFont="1" applyBorder="1" applyAlignment="1">
      <alignment horizontal="center" vertical="center"/>
    </xf>
    <xf numFmtId="0" fontId="19" fillId="8" borderId="21" xfId="0" applyFont="1" applyFill="1" applyBorder="1" applyAlignment="1">
      <alignment horizontal="center" vertical="center"/>
    </xf>
    <xf numFmtId="0" fontId="22" fillId="4" borderId="1" xfId="0" applyFont="1" applyFill="1" applyBorder="1" applyAlignment="1">
      <alignment horizontal="center" vertical="center" textRotation="90" wrapText="1"/>
    </xf>
    <xf numFmtId="0" fontId="22" fillId="4" borderId="4" xfId="0" applyFont="1" applyFill="1" applyBorder="1" applyAlignment="1">
      <alignment horizontal="center" vertical="center" textRotation="90" wrapText="1"/>
    </xf>
    <xf numFmtId="0" fontId="22" fillId="4" borderId="6" xfId="0" applyFont="1" applyFill="1" applyBorder="1" applyAlignment="1">
      <alignment horizontal="center" vertical="center" textRotation="90" wrapText="1"/>
    </xf>
    <xf numFmtId="0" fontId="28" fillId="5" borderId="1"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6"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0" fillId="2" borderId="44" xfId="0" applyFill="1" applyBorder="1" applyAlignment="1">
      <alignment horizontal="justify" vertical="top" wrapText="1"/>
    </xf>
    <xf numFmtId="0" fontId="0" fillId="2" borderId="45" xfId="0" applyFill="1" applyBorder="1" applyAlignment="1">
      <alignment horizontal="justify" vertical="top" wrapText="1"/>
    </xf>
    <xf numFmtId="0" fontId="0" fillId="2" borderId="40" xfId="0" applyFill="1" applyBorder="1" applyAlignment="1">
      <alignment horizontal="justify" vertical="top" wrapText="1"/>
    </xf>
    <xf numFmtId="0" fontId="34" fillId="5" borderId="44" xfId="0" applyFont="1" applyFill="1" applyBorder="1" applyAlignment="1">
      <alignment horizontal="center" vertical="center"/>
    </xf>
    <xf numFmtId="0" fontId="34" fillId="5" borderId="45" xfId="0" applyFont="1" applyFill="1" applyBorder="1" applyAlignment="1">
      <alignment horizontal="center" vertical="center"/>
    </xf>
    <xf numFmtId="0" fontId="34" fillId="5" borderId="40" xfId="0" applyFont="1" applyFill="1" applyBorder="1" applyAlignment="1">
      <alignment horizontal="center" vertical="center"/>
    </xf>
    <xf numFmtId="0" fontId="22" fillId="2" borderId="44" xfId="0" applyFont="1" applyFill="1" applyBorder="1" applyAlignment="1">
      <alignment horizontal="center"/>
    </xf>
    <xf numFmtId="0" fontId="22" fillId="2" borderId="45" xfId="0" applyFont="1" applyFill="1" applyBorder="1" applyAlignment="1">
      <alignment horizontal="center"/>
    </xf>
    <xf numFmtId="0" fontId="22" fillId="2" borderId="40" xfId="0" applyFont="1" applyFill="1" applyBorder="1" applyAlignment="1">
      <alignment horizontal="center"/>
    </xf>
    <xf numFmtId="0" fontId="20" fillId="15" borderId="9" xfId="0" applyFont="1" applyFill="1" applyBorder="1" applyAlignment="1">
      <alignment horizontal="center" vertical="center"/>
    </xf>
    <xf numFmtId="0" fontId="12" fillId="14" borderId="1"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0" xfId="0" applyFont="1" applyFill="1" applyBorder="1" applyAlignment="1">
      <alignment horizontal="center" vertical="center" wrapText="1"/>
    </xf>
    <xf numFmtId="0" fontId="12" fillId="14" borderId="5" xfId="0" applyFont="1" applyFill="1" applyBorder="1" applyAlignment="1">
      <alignment horizontal="center" vertical="center" wrapText="1"/>
    </xf>
    <xf numFmtId="0" fontId="12" fillId="14" borderId="6"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12" fillId="14" borderId="8" xfId="0" applyFont="1" applyFill="1" applyBorder="1" applyAlignment="1">
      <alignment horizontal="center" vertical="center" wrapText="1"/>
    </xf>
    <xf numFmtId="0" fontId="41" fillId="5" borderId="23" xfId="0" applyFont="1" applyFill="1" applyBorder="1" applyAlignment="1">
      <alignment horizontal="center" vertical="center" textRotation="90"/>
    </xf>
    <xf numFmtId="0" fontId="41" fillId="5" borderId="24" xfId="0" applyFont="1" applyFill="1" applyBorder="1" applyAlignment="1">
      <alignment horizontal="center" vertical="center" textRotation="90"/>
    </xf>
    <xf numFmtId="0" fontId="41" fillId="5" borderId="25" xfId="0" applyFont="1" applyFill="1" applyBorder="1" applyAlignment="1">
      <alignment horizontal="center" vertical="center" textRotation="90"/>
    </xf>
    <xf numFmtId="20" fontId="4" fillId="9" borderId="34" xfId="0" applyNumberFormat="1" applyFont="1" applyFill="1" applyBorder="1" applyAlignment="1" applyProtection="1">
      <alignment horizontal="center"/>
      <protection locked="0"/>
    </xf>
    <xf numFmtId="20" fontId="7" fillId="9" borderId="47" xfId="0" applyNumberFormat="1" applyFont="1" applyFill="1" applyBorder="1" applyAlignment="1" applyProtection="1">
      <alignment horizontal="center"/>
      <protection locked="0"/>
    </xf>
    <xf numFmtId="20" fontId="7" fillId="9" borderId="18" xfId="0" applyNumberFormat="1" applyFont="1" applyFill="1" applyBorder="1" applyAlignment="1" applyProtection="1">
      <alignment horizontal="center"/>
      <protection locked="0"/>
    </xf>
    <xf numFmtId="0" fontId="29" fillId="5" borderId="0" xfId="0" applyFont="1" applyFill="1" applyBorder="1" applyAlignment="1">
      <alignment horizontal="center" vertical="center" wrapText="1"/>
    </xf>
    <xf numFmtId="0" fontId="34" fillId="5" borderId="16" xfId="0" applyFont="1" applyFill="1" applyBorder="1" applyAlignment="1">
      <alignment horizontal="center" vertical="top" wrapText="1"/>
    </xf>
    <xf numFmtId="0" fontId="34" fillId="5" borderId="46" xfId="0" applyFont="1" applyFill="1" applyBorder="1" applyAlignment="1">
      <alignment horizontal="center" vertical="top" wrapText="1"/>
    </xf>
    <xf numFmtId="0" fontId="0" fillId="2" borderId="44" xfId="0" applyFill="1" applyBorder="1" applyAlignment="1">
      <alignment horizontal="left" vertical="top" wrapText="1"/>
    </xf>
    <xf numFmtId="0" fontId="0" fillId="2" borderId="45" xfId="0" applyFill="1" applyBorder="1" applyAlignment="1">
      <alignment horizontal="left" vertical="top" wrapText="1"/>
    </xf>
    <xf numFmtId="0" fontId="0" fillId="2" borderId="40" xfId="0" applyFill="1" applyBorder="1" applyAlignment="1">
      <alignment horizontal="left" vertical="top" wrapText="1"/>
    </xf>
    <xf numFmtId="0" fontId="34" fillId="5" borderId="34" xfId="0" applyFont="1" applyFill="1" applyBorder="1" applyAlignment="1">
      <alignment horizontal="center" vertical="top" wrapText="1"/>
    </xf>
    <xf numFmtId="0" fontId="34" fillId="5" borderId="47"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6" xfId="0" applyFill="1" applyBorder="1" applyAlignment="1">
      <alignment horizontal="justify" vertical="top" wrapText="1"/>
    </xf>
    <xf numFmtId="0" fontId="0" fillId="2" borderId="7" xfId="0" applyFill="1" applyBorder="1" applyAlignment="1">
      <alignment horizontal="justify" vertical="top" wrapText="1"/>
    </xf>
    <xf numFmtId="0" fontId="0" fillId="2" borderId="8" xfId="0" applyFill="1" applyBorder="1" applyAlignment="1">
      <alignment horizontal="justify" vertical="top" wrapText="1"/>
    </xf>
    <xf numFmtId="0" fontId="0" fillId="2" borderId="4" xfId="0" applyFill="1" applyBorder="1" applyAlignment="1">
      <alignment horizontal="justify" vertical="top" wrapText="1"/>
    </xf>
    <xf numFmtId="0" fontId="0" fillId="2" borderId="0" xfId="0" applyFill="1" applyBorder="1" applyAlignment="1">
      <alignment horizontal="justify" vertical="top" wrapText="1"/>
    </xf>
    <xf numFmtId="0" fontId="0" fillId="2" borderId="5" xfId="0" applyFill="1" applyBorder="1" applyAlignment="1">
      <alignment horizontal="justify" vertical="top" wrapText="1"/>
    </xf>
    <xf numFmtId="0" fontId="0" fillId="2" borderId="1" xfId="0" applyFill="1" applyBorder="1" applyAlignment="1">
      <alignment horizontal="justify" vertical="top" wrapText="1"/>
    </xf>
    <xf numFmtId="0" fontId="0" fillId="2" borderId="2" xfId="0" applyFill="1" applyBorder="1" applyAlignment="1">
      <alignment horizontal="justify" vertical="top" wrapText="1"/>
    </xf>
    <xf numFmtId="0" fontId="0" fillId="2" borderId="3" xfId="0" applyFill="1" applyBorder="1" applyAlignment="1">
      <alignment horizontal="justify" vertical="top" wrapText="1"/>
    </xf>
    <xf numFmtId="0" fontId="35" fillId="14" borderId="44" xfId="0" applyFont="1" applyFill="1" applyBorder="1" applyAlignment="1">
      <alignment horizontal="center" vertical="center" wrapText="1"/>
    </xf>
    <xf numFmtId="0" fontId="35" fillId="14" borderId="45" xfId="0" applyFont="1" applyFill="1" applyBorder="1" applyAlignment="1">
      <alignment horizontal="center" vertical="center" wrapText="1"/>
    </xf>
    <xf numFmtId="0" fontId="35" fillId="14" borderId="40" xfId="0" applyFont="1" applyFill="1" applyBorder="1" applyAlignment="1">
      <alignment horizontal="center" vertical="center" wrapText="1"/>
    </xf>
    <xf numFmtId="0" fontId="13" fillId="4" borderId="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4" fillId="6" borderId="0" xfId="0" applyFont="1" applyFill="1" applyBorder="1" applyAlignment="1">
      <alignment horizontal="center" vertical="center" shrinkToFit="1"/>
    </xf>
    <xf numFmtId="0" fontId="15" fillId="4" borderId="1" xfId="0" applyFont="1" applyFill="1" applyBorder="1" applyAlignment="1">
      <alignment horizontal="center" vertical="center" shrinkToFit="1"/>
    </xf>
    <xf numFmtId="0" fontId="15" fillId="4" borderId="2" xfId="0" applyFont="1" applyFill="1" applyBorder="1" applyAlignment="1">
      <alignment horizontal="center" vertical="center" shrinkToFit="1"/>
    </xf>
    <xf numFmtId="0" fontId="15" fillId="4" borderId="3" xfId="0" applyFont="1" applyFill="1" applyBorder="1" applyAlignment="1">
      <alignment horizontal="center" vertical="center" shrinkToFit="1"/>
    </xf>
    <xf numFmtId="0" fontId="15" fillId="4" borderId="4" xfId="0" applyFont="1" applyFill="1" applyBorder="1" applyAlignment="1">
      <alignment horizontal="center" vertical="center" shrinkToFit="1"/>
    </xf>
    <xf numFmtId="0" fontId="15" fillId="4" borderId="0" xfId="0" applyFont="1" applyFill="1" applyBorder="1" applyAlignment="1">
      <alignment horizontal="center" vertical="center" shrinkToFit="1"/>
    </xf>
    <xf numFmtId="0" fontId="15" fillId="4" borderId="5" xfId="0" applyFont="1" applyFill="1" applyBorder="1" applyAlignment="1">
      <alignment horizontal="center" vertical="center" shrinkToFit="1"/>
    </xf>
    <xf numFmtId="0" fontId="15" fillId="4" borderId="6" xfId="0" applyFont="1" applyFill="1" applyBorder="1" applyAlignment="1">
      <alignment horizontal="center" vertical="center" shrinkToFit="1"/>
    </xf>
    <xf numFmtId="0" fontId="15" fillId="4" borderId="7" xfId="0" applyFont="1" applyFill="1" applyBorder="1" applyAlignment="1">
      <alignment horizontal="center" vertical="center" shrinkToFit="1"/>
    </xf>
    <xf numFmtId="0" fontId="15" fillId="4" borderId="8" xfId="0" applyFont="1" applyFill="1" applyBorder="1" applyAlignment="1">
      <alignment horizontal="center" vertical="center" shrinkToFit="1"/>
    </xf>
    <xf numFmtId="0" fontId="35" fillId="5" borderId="44" xfId="0" applyFont="1" applyFill="1" applyBorder="1" applyAlignment="1">
      <alignment horizontal="center" vertical="center" wrapText="1"/>
    </xf>
    <xf numFmtId="0" fontId="35" fillId="5" borderId="45" xfId="0" applyFont="1" applyFill="1" applyBorder="1" applyAlignment="1">
      <alignment horizontal="center" vertical="center" wrapText="1"/>
    </xf>
    <xf numFmtId="0" fontId="35" fillId="5" borderId="40"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1" fillId="0" borderId="2" xfId="0" applyFont="1" applyBorder="1" applyAlignment="1">
      <alignment horizontal="center"/>
    </xf>
    <xf numFmtId="0" fontId="12" fillId="19" borderId="54" xfId="0" applyFont="1" applyFill="1" applyBorder="1" applyAlignment="1" applyProtection="1">
      <alignment horizontal="center" vertical="center"/>
      <protection locked="0"/>
    </xf>
    <xf numFmtId="0" fontId="12" fillId="19" borderId="15" xfId="0" applyFont="1" applyFill="1" applyBorder="1" applyAlignment="1" applyProtection="1">
      <alignment horizontal="center" vertical="center"/>
      <protection locked="0"/>
    </xf>
    <xf numFmtId="0" fontId="12" fillId="19" borderId="46" xfId="0" applyFont="1" applyFill="1" applyBorder="1" applyAlignment="1" applyProtection="1">
      <alignment horizontal="center" vertical="center"/>
      <protection locked="0"/>
    </xf>
    <xf numFmtId="0" fontId="12" fillId="19" borderId="10" xfId="0" applyFont="1" applyFill="1" applyBorder="1" applyAlignment="1" applyProtection="1">
      <alignment horizontal="center" vertical="center"/>
      <protection locked="0"/>
    </xf>
    <xf numFmtId="0" fontId="12" fillId="19" borderId="43" xfId="0" applyFont="1" applyFill="1" applyBorder="1" applyAlignment="1" applyProtection="1">
      <alignment horizontal="center" vertical="center"/>
      <protection locked="0"/>
    </xf>
    <xf numFmtId="0" fontId="12" fillId="19" borderId="12" xfId="0" applyFont="1" applyFill="1" applyBorder="1" applyAlignment="1" applyProtection="1">
      <alignment horizontal="center" vertical="center"/>
      <protection locked="0"/>
    </xf>
    <xf numFmtId="0" fontId="0" fillId="0" borderId="7" xfId="0" applyBorder="1" applyAlignment="1">
      <alignment horizontal="center"/>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0"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0" fillId="14" borderId="2" xfId="0" applyFill="1" applyBorder="1"/>
    <xf numFmtId="0" fontId="0" fillId="14" borderId="3" xfId="0" applyFill="1" applyBorder="1"/>
    <xf numFmtId="0" fontId="0" fillId="14" borderId="4" xfId="0" applyFill="1" applyBorder="1"/>
    <xf numFmtId="0" fontId="0" fillId="14" borderId="0" xfId="0" applyFill="1" applyBorder="1"/>
    <xf numFmtId="0" fontId="0" fillId="14" borderId="5" xfId="0" applyFill="1" applyBorder="1"/>
    <xf numFmtId="0" fontId="0" fillId="14" borderId="6" xfId="0" applyFill="1" applyBorder="1"/>
    <xf numFmtId="0" fontId="0" fillId="14" borderId="7" xfId="0" applyFill="1" applyBorder="1"/>
    <xf numFmtId="0" fontId="0" fillId="14" borderId="8" xfId="0" applyFill="1"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9" borderId="4" xfId="0" applyFont="1" applyFill="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4" fillId="9" borderId="5" xfId="0" applyFont="1" applyFill="1" applyBorder="1" applyAlignment="1" applyProtection="1">
      <alignment horizontal="center" vertical="center"/>
      <protection locked="0"/>
    </xf>
    <xf numFmtId="0" fontId="4" fillId="5" borderId="49" xfId="0" applyFont="1" applyFill="1" applyBorder="1" applyAlignment="1">
      <alignment horizontal="center" vertical="center"/>
    </xf>
    <xf numFmtId="0" fontId="4" fillId="5" borderId="50" xfId="0" applyFont="1" applyFill="1" applyBorder="1" applyAlignment="1">
      <alignment horizontal="center" vertical="center"/>
    </xf>
    <xf numFmtId="0" fontId="4" fillId="5" borderId="51" xfId="0" applyFont="1" applyFill="1" applyBorder="1" applyAlignment="1">
      <alignment horizontal="center" vertical="center"/>
    </xf>
    <xf numFmtId="0" fontId="10" fillId="5" borderId="0" xfId="0" applyFont="1" applyFill="1" applyBorder="1" applyAlignment="1">
      <alignment horizontal="center" vertical="center"/>
    </xf>
    <xf numFmtId="0" fontId="34" fillId="5" borderId="18" xfId="0" applyFont="1" applyFill="1" applyBorder="1" applyAlignment="1">
      <alignment horizontal="center" vertical="top" wrapText="1"/>
    </xf>
    <xf numFmtId="0" fontId="4" fillId="9" borderId="16" xfId="0" applyFont="1" applyFill="1" applyBorder="1" applyAlignment="1" applyProtection="1">
      <alignment horizontal="center"/>
      <protection locked="0"/>
    </xf>
    <xf numFmtId="0" fontId="7" fillId="9" borderId="46" xfId="0" applyFont="1" applyFill="1" applyBorder="1" applyAlignment="1" applyProtection="1">
      <alignment horizontal="center"/>
      <protection locked="0"/>
    </xf>
    <xf numFmtId="1" fontId="4" fillId="9" borderId="34" xfId="0" applyNumberFormat="1" applyFont="1" applyFill="1" applyBorder="1" applyAlignment="1" applyProtection="1">
      <alignment horizontal="center" vertical="center"/>
      <protection locked="0"/>
    </xf>
    <xf numFmtId="1" fontId="7" fillId="9" borderId="47" xfId="0" applyNumberFormat="1" applyFont="1" applyFill="1" applyBorder="1" applyAlignment="1" applyProtection="1">
      <alignment horizontal="center" vertical="center"/>
      <protection locked="0"/>
    </xf>
    <xf numFmtId="1" fontId="7" fillId="9" borderId="46" xfId="0" applyNumberFormat="1" applyFont="1" applyFill="1" applyBorder="1" applyAlignment="1" applyProtection="1">
      <alignment horizontal="center" vertical="center"/>
      <protection locked="0"/>
    </xf>
    <xf numFmtId="0" fontId="4" fillId="9" borderId="34" xfId="0" applyFont="1" applyFill="1" applyBorder="1" applyAlignment="1" applyProtection="1">
      <alignment horizontal="center"/>
      <protection locked="0"/>
    </xf>
    <xf numFmtId="0" fontId="7" fillId="9" borderId="47" xfId="0" applyFont="1" applyFill="1" applyBorder="1" applyAlignment="1" applyProtection="1">
      <alignment horizontal="center"/>
      <protection locked="0"/>
    </xf>
    <xf numFmtId="14" fontId="10" fillId="5" borderId="35" xfId="0" applyNumberFormat="1" applyFont="1" applyFill="1" applyBorder="1" applyAlignment="1">
      <alignment horizontal="center"/>
    </xf>
    <xf numFmtId="14" fontId="10" fillId="5" borderId="42" xfId="0" applyNumberFormat="1" applyFont="1" applyFill="1" applyBorder="1" applyAlignment="1">
      <alignment horizontal="center"/>
    </xf>
    <xf numFmtId="14" fontId="10" fillId="5" borderId="43" xfId="0" applyNumberFormat="1" applyFont="1" applyFill="1" applyBorder="1" applyAlignment="1">
      <alignment horizontal="center"/>
    </xf>
    <xf numFmtId="14" fontId="10" fillId="5" borderId="48" xfId="0" applyNumberFormat="1" applyFont="1" applyFill="1" applyBorder="1" applyAlignment="1">
      <alignment horizontal="center"/>
    </xf>
    <xf numFmtId="0" fontId="0" fillId="12" borderId="44" xfId="0" applyFill="1" applyBorder="1" applyAlignment="1">
      <alignment horizontal="center" vertical="center" wrapText="1"/>
    </xf>
    <xf numFmtId="0" fontId="0" fillId="12" borderId="45" xfId="0" applyFill="1" applyBorder="1" applyAlignment="1">
      <alignment horizontal="center" vertical="center" wrapText="1"/>
    </xf>
    <xf numFmtId="0" fontId="0" fillId="12" borderId="40" xfId="0" applyFill="1" applyBorder="1" applyAlignment="1">
      <alignment horizontal="center" vertical="center" wrapText="1"/>
    </xf>
    <xf numFmtId="14" fontId="0" fillId="0" borderId="44" xfId="0" applyNumberFormat="1" applyFill="1" applyBorder="1" applyAlignment="1">
      <alignment horizontal="center" vertical="center" wrapText="1"/>
    </xf>
    <xf numFmtId="0" fontId="0" fillId="0" borderId="45" xfId="0" applyFill="1" applyBorder="1" applyAlignment="1">
      <alignment horizontal="center" vertical="center" wrapText="1"/>
    </xf>
    <xf numFmtId="0" fontId="0" fillId="0" borderId="40" xfId="0" applyFill="1" applyBorder="1" applyAlignment="1">
      <alignment horizontal="center" vertical="center" wrapText="1"/>
    </xf>
    <xf numFmtId="0" fontId="18" fillId="0" borderId="7" xfId="0" applyFont="1" applyBorder="1" applyAlignment="1">
      <alignment horizontal="center" vertical="top" wrapText="1"/>
    </xf>
    <xf numFmtId="0" fontId="0" fillId="0" borderId="2" xfId="0" applyBorder="1" applyAlignment="1">
      <alignment horizontal="center"/>
    </xf>
    <xf numFmtId="0" fontId="1" fillId="0" borderId="2" xfId="0" applyFont="1" applyBorder="1" applyAlignment="1">
      <alignment horizontal="center" vertical="center"/>
    </xf>
    <xf numFmtId="14" fontId="10" fillId="5" borderId="41" xfId="0" applyNumberFormat="1" applyFont="1" applyFill="1" applyBorder="1" applyAlignment="1">
      <alignment horizontal="center"/>
    </xf>
    <xf numFmtId="0" fontId="34" fillId="5" borderId="44"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34" fillId="5" borderId="40" xfId="0" applyFont="1" applyFill="1" applyBorder="1" applyAlignment="1">
      <alignment horizontal="center" vertical="center" wrapText="1"/>
    </xf>
    <xf numFmtId="0" fontId="4" fillId="14" borderId="44" xfId="0" applyFont="1" applyFill="1" applyBorder="1" applyAlignment="1">
      <alignment horizontal="center" vertical="center" wrapText="1"/>
    </xf>
    <xf numFmtId="0" fontId="4" fillId="14" borderId="45" xfId="0" applyFont="1" applyFill="1" applyBorder="1" applyAlignment="1">
      <alignment horizontal="center" vertical="center" wrapText="1"/>
    </xf>
    <xf numFmtId="0" fontId="4" fillId="14" borderId="40" xfId="0" applyFont="1" applyFill="1" applyBorder="1" applyAlignment="1">
      <alignment horizontal="center" vertical="center" wrapText="1"/>
    </xf>
    <xf numFmtId="0" fontId="12" fillId="5" borderId="44" xfId="0" applyFont="1" applyFill="1" applyBorder="1" applyAlignment="1">
      <alignment horizontal="center" vertical="center" wrapText="1"/>
    </xf>
    <xf numFmtId="0" fontId="12" fillId="5" borderId="45" xfId="0" applyFont="1" applyFill="1" applyBorder="1" applyAlignment="1">
      <alignment horizontal="center" vertical="center" wrapText="1"/>
    </xf>
    <xf numFmtId="0" fontId="12" fillId="5" borderId="40" xfId="0" applyFont="1" applyFill="1" applyBorder="1" applyAlignment="1">
      <alignment horizontal="center" vertical="center" wrapText="1"/>
    </xf>
    <xf numFmtId="14" fontId="0" fillId="0" borderId="44" xfId="0" applyNumberFormat="1" applyFill="1" applyBorder="1" applyAlignment="1">
      <alignment horizontal="justify" vertical="center" wrapText="1"/>
    </xf>
    <xf numFmtId="14" fontId="0" fillId="0" borderId="45" xfId="0" applyNumberFormat="1" applyFill="1" applyBorder="1" applyAlignment="1">
      <alignment horizontal="justify" vertical="center" wrapText="1"/>
    </xf>
    <xf numFmtId="14" fontId="0" fillId="0" borderId="40" xfId="0" applyNumberFormat="1" applyFill="1" applyBorder="1" applyAlignment="1">
      <alignment horizontal="justify" vertical="center" wrapText="1"/>
    </xf>
    <xf numFmtId="0" fontId="35" fillId="6" borderId="6"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8" xfId="0" applyFont="1" applyFill="1" applyBorder="1" applyAlignment="1">
      <alignment horizontal="center" vertical="center" wrapText="1"/>
    </xf>
    <xf numFmtId="44" fontId="34" fillId="6" borderId="44" xfId="2" applyFont="1" applyFill="1" applyBorder="1" applyAlignment="1">
      <alignment horizontal="center" vertical="center"/>
    </xf>
    <xf numFmtId="44" fontId="34" fillId="6" borderId="45" xfId="2" applyFont="1" applyFill="1" applyBorder="1" applyAlignment="1">
      <alignment horizontal="center" vertical="center"/>
    </xf>
    <xf numFmtId="44" fontId="34" fillId="6" borderId="40" xfId="2" applyFont="1" applyFill="1" applyBorder="1" applyAlignment="1">
      <alignment horizontal="center" vertical="center"/>
    </xf>
    <xf numFmtId="14" fontId="0" fillId="0" borderId="45" xfId="0" applyNumberFormat="1" applyFill="1" applyBorder="1" applyAlignment="1">
      <alignment horizontal="center" vertical="center" wrapText="1"/>
    </xf>
    <xf numFmtId="14" fontId="0" fillId="0" borderId="40" xfId="0" applyNumberFormat="1" applyFill="1" applyBorder="1" applyAlignment="1">
      <alignment horizontal="center" vertical="center" wrapText="1"/>
    </xf>
    <xf numFmtId="49" fontId="0" fillId="2" borderId="44" xfId="0" applyNumberFormat="1" applyFill="1" applyBorder="1" applyAlignment="1">
      <alignment horizontal="justify" vertical="top" wrapText="1"/>
    </xf>
    <xf numFmtId="49" fontId="0" fillId="2" borderId="45" xfId="0" applyNumberFormat="1" applyFill="1" applyBorder="1" applyAlignment="1">
      <alignment horizontal="justify" vertical="top" wrapText="1"/>
    </xf>
    <xf numFmtId="49" fontId="0" fillId="2" borderId="40" xfId="0" applyNumberFormat="1" applyFill="1" applyBorder="1" applyAlignment="1">
      <alignment horizontal="justify" vertical="top" wrapText="1"/>
    </xf>
    <xf numFmtId="0" fontId="34" fillId="5" borderId="4" xfId="0" applyFont="1" applyFill="1" applyBorder="1" applyAlignment="1">
      <alignment horizontal="center"/>
    </xf>
    <xf numFmtId="0" fontId="34" fillId="5" borderId="0" xfId="0" applyFont="1" applyFill="1" applyBorder="1" applyAlignment="1">
      <alignment horizontal="center"/>
    </xf>
    <xf numFmtId="0" fontId="34" fillId="5" borderId="5" xfId="0" applyFont="1" applyFill="1" applyBorder="1" applyAlignment="1">
      <alignment horizontal="center"/>
    </xf>
    <xf numFmtId="0" fontId="28" fillId="5" borderId="44" xfId="0" applyFont="1" applyFill="1" applyBorder="1" applyAlignment="1">
      <alignment horizontal="center" vertical="center"/>
    </xf>
    <xf numFmtId="0" fontId="28" fillId="5" borderId="45" xfId="0" applyFont="1" applyFill="1" applyBorder="1" applyAlignment="1">
      <alignment horizontal="center" vertical="center"/>
    </xf>
    <xf numFmtId="0" fontId="28" fillId="5" borderId="40" xfId="0" applyFont="1" applyFill="1" applyBorder="1" applyAlignment="1">
      <alignment horizontal="center" vertical="center"/>
    </xf>
    <xf numFmtId="0" fontId="27" fillId="10" borderId="44" xfId="0" applyFont="1" applyFill="1" applyBorder="1" applyAlignment="1">
      <alignment horizontal="justify" vertical="center" wrapText="1"/>
    </xf>
    <xf numFmtId="0" fontId="27" fillId="10" borderId="45" xfId="0" applyFont="1" applyFill="1" applyBorder="1" applyAlignment="1">
      <alignment horizontal="justify" vertical="center" wrapText="1"/>
    </xf>
    <xf numFmtId="0" fontId="27" fillId="10" borderId="40" xfId="0" applyFont="1" applyFill="1" applyBorder="1" applyAlignment="1">
      <alignment horizontal="justify" vertical="center" wrapText="1"/>
    </xf>
    <xf numFmtId="0" fontId="34" fillId="5" borderId="44" xfId="0" applyFont="1" applyFill="1" applyBorder="1" applyAlignment="1">
      <alignment horizontal="center"/>
    </xf>
    <xf numFmtId="0" fontId="34" fillId="5" borderId="45" xfId="0" applyFont="1" applyFill="1" applyBorder="1" applyAlignment="1">
      <alignment horizontal="center"/>
    </xf>
    <xf numFmtId="0" fontId="34" fillId="5" borderId="40" xfId="0" applyFont="1" applyFill="1" applyBorder="1" applyAlignment="1">
      <alignment horizontal="center"/>
    </xf>
    <xf numFmtId="0" fontId="4" fillId="7" borderId="0" xfId="0" applyFont="1" applyFill="1" applyBorder="1" applyAlignment="1">
      <alignment horizontal="center"/>
    </xf>
    <xf numFmtId="0" fontId="40" fillId="2" borderId="1" xfId="0" applyFont="1" applyFill="1" applyBorder="1" applyAlignment="1">
      <alignment horizontal="justify" vertical="center" wrapText="1"/>
    </xf>
    <xf numFmtId="0" fontId="40" fillId="2" borderId="2" xfId="0" applyFont="1" applyFill="1" applyBorder="1" applyAlignment="1">
      <alignment horizontal="justify" vertical="center" wrapText="1"/>
    </xf>
    <xf numFmtId="0" fontId="40" fillId="2" borderId="3" xfId="0" applyFont="1" applyFill="1" applyBorder="1" applyAlignment="1">
      <alignment horizontal="justify" vertical="center" wrapText="1"/>
    </xf>
    <xf numFmtId="0" fontId="40" fillId="2" borderId="4" xfId="0" applyFont="1" applyFill="1" applyBorder="1" applyAlignment="1">
      <alignment horizontal="justify" vertical="center" wrapText="1"/>
    </xf>
    <xf numFmtId="0" fontId="40" fillId="2" borderId="0" xfId="0" applyFont="1" applyFill="1" applyBorder="1" applyAlignment="1">
      <alignment horizontal="justify" vertical="center" wrapText="1"/>
    </xf>
    <xf numFmtId="0" fontId="40" fillId="2" borderId="5" xfId="0" applyFont="1" applyFill="1" applyBorder="1" applyAlignment="1">
      <alignment horizontal="justify" vertical="center" wrapText="1"/>
    </xf>
    <xf numFmtId="0" fontId="40" fillId="2" borderId="6" xfId="0" applyFont="1" applyFill="1" applyBorder="1" applyAlignment="1">
      <alignment horizontal="justify" vertical="center" wrapText="1"/>
    </xf>
    <xf numFmtId="0" fontId="40" fillId="2" borderId="7" xfId="0" applyFont="1" applyFill="1" applyBorder="1" applyAlignment="1">
      <alignment horizontal="justify" vertical="center" wrapText="1"/>
    </xf>
    <xf numFmtId="0" fontId="40" fillId="2" borderId="8" xfId="0" applyFont="1" applyFill="1" applyBorder="1" applyAlignment="1">
      <alignment horizontal="justify" vertical="center" wrapText="1"/>
    </xf>
    <xf numFmtId="0" fontId="12" fillId="5" borderId="5" xfId="0" applyFont="1" applyFill="1" applyBorder="1" applyAlignment="1">
      <alignment horizontal="center" vertical="center" textRotation="90"/>
    </xf>
    <xf numFmtId="3" fontId="0" fillId="7" borderId="7" xfId="1" applyNumberFormat="1" applyFont="1" applyFill="1" applyBorder="1" applyAlignment="1">
      <alignment horizontal="center"/>
    </xf>
    <xf numFmtId="3" fontId="0" fillId="7" borderId="2" xfId="1" applyNumberFormat="1" applyFont="1" applyFill="1" applyBorder="1" applyAlignment="1">
      <alignment horizontal="center"/>
    </xf>
    <xf numFmtId="0" fontId="41" fillId="5" borderId="62" xfId="0" applyFont="1" applyFill="1" applyBorder="1" applyAlignment="1">
      <alignment horizontal="center" vertical="center" wrapText="1"/>
    </xf>
    <xf numFmtId="0" fontId="41" fillId="5" borderId="50" xfId="0" applyFont="1" applyFill="1" applyBorder="1" applyAlignment="1">
      <alignment horizontal="center" vertical="center" wrapText="1"/>
    </xf>
    <xf numFmtId="0" fontId="12" fillId="14" borderId="61" xfId="0" applyFont="1" applyFill="1" applyBorder="1" applyAlignment="1">
      <alignment horizontal="center" vertical="center" wrapText="1"/>
    </xf>
    <xf numFmtId="0" fontId="12" fillId="14" borderId="62" xfId="0" applyFont="1" applyFill="1" applyBorder="1" applyAlignment="1">
      <alignment horizontal="center" vertical="center" wrapText="1"/>
    </xf>
    <xf numFmtId="0" fontId="47" fillId="17" borderId="52" xfId="0" applyFont="1" applyFill="1" applyBorder="1" applyAlignment="1" applyProtection="1">
      <alignment horizontal="center" vertical="center" textRotation="90"/>
    </xf>
    <xf numFmtId="0" fontId="47" fillId="17" borderId="36" xfId="0" applyFont="1" applyFill="1" applyBorder="1" applyAlignment="1" applyProtection="1">
      <alignment horizontal="center" vertical="center" textRotation="90"/>
    </xf>
    <xf numFmtId="0" fontId="47" fillId="17" borderId="37" xfId="0" applyFont="1" applyFill="1" applyBorder="1" applyAlignment="1" applyProtection="1">
      <alignment horizontal="center" vertical="center" textRotation="90"/>
    </xf>
    <xf numFmtId="0" fontId="50" fillId="18" borderId="56" xfId="0" applyFont="1" applyFill="1" applyBorder="1" applyAlignment="1" applyProtection="1">
      <alignment horizontal="center" vertical="center"/>
    </xf>
    <xf numFmtId="0" fontId="50" fillId="18" borderId="57" xfId="0" applyFont="1" applyFill="1" applyBorder="1" applyAlignment="1" applyProtection="1">
      <alignment horizontal="center" vertical="center"/>
    </xf>
    <xf numFmtId="0" fontId="47" fillId="17" borderId="49" xfId="0" applyFont="1" applyFill="1" applyBorder="1" applyAlignment="1" applyProtection="1">
      <alignment horizontal="center" vertical="center" textRotation="90"/>
    </xf>
    <xf numFmtId="0" fontId="47" fillId="17" borderId="16" xfId="0" applyFont="1" applyFill="1" applyBorder="1" applyAlignment="1" applyProtection="1">
      <alignment horizontal="center" vertical="center" textRotation="90"/>
    </xf>
    <xf numFmtId="0" fontId="47" fillId="17" borderId="41" xfId="0" applyFont="1" applyFill="1" applyBorder="1" applyAlignment="1" applyProtection="1">
      <alignment horizontal="center" vertical="center" textRotation="90"/>
    </xf>
    <xf numFmtId="0" fontId="47" fillId="17" borderId="53" xfId="0" applyFont="1" applyFill="1" applyBorder="1" applyAlignment="1" applyProtection="1">
      <alignment horizontal="center" vertical="center" textRotation="90"/>
    </xf>
    <xf numFmtId="0" fontId="20" fillId="5" borderId="44" xfId="0" applyFont="1" applyFill="1" applyBorder="1" applyAlignment="1">
      <alignment horizontal="center"/>
    </xf>
    <xf numFmtId="0" fontId="20" fillId="5" borderId="45" xfId="0" applyFont="1" applyFill="1" applyBorder="1" applyAlignment="1">
      <alignment horizontal="center"/>
    </xf>
    <xf numFmtId="0" fontId="20" fillId="5" borderId="40" xfId="0" applyFont="1" applyFill="1" applyBorder="1" applyAlignment="1">
      <alignment horizontal="center"/>
    </xf>
    <xf numFmtId="0" fontId="12" fillId="5" borderId="44" xfId="0" applyFont="1" applyFill="1" applyBorder="1" applyAlignment="1">
      <alignment horizontal="center"/>
    </xf>
    <xf numFmtId="0" fontId="12" fillId="5" borderId="45" xfId="0" applyFont="1" applyFill="1" applyBorder="1" applyAlignment="1">
      <alignment horizontal="center"/>
    </xf>
    <xf numFmtId="0" fontId="12" fillId="5" borderId="40" xfId="0" applyFont="1" applyFill="1" applyBorder="1" applyAlignment="1">
      <alignment horizontal="center"/>
    </xf>
    <xf numFmtId="0" fontId="0" fillId="0" borderId="0" xfId="0" applyAlignment="1">
      <alignment horizontal="center"/>
    </xf>
    <xf numFmtId="0" fontId="18" fillId="0" borderId="17" xfId="0" applyFont="1" applyBorder="1" applyAlignment="1">
      <alignment horizontal="center"/>
    </xf>
    <xf numFmtId="0" fontId="18" fillId="0" borderId="15" xfId="0" applyFont="1" applyBorder="1" applyAlignment="1">
      <alignment horizontal="center"/>
    </xf>
    <xf numFmtId="0" fontId="18" fillId="0" borderId="13" xfId="0" applyFont="1" applyBorder="1" applyAlignment="1">
      <alignment horizontal="center" vertical="center"/>
    </xf>
    <xf numFmtId="0" fontId="23" fillId="2" borderId="13" xfId="0" applyNumberFormat="1" applyFont="1" applyFill="1" applyBorder="1" applyAlignment="1">
      <alignment horizontal="center"/>
    </xf>
    <xf numFmtId="0" fontId="23" fillId="2" borderId="17" xfId="0" applyNumberFormat="1" applyFont="1" applyFill="1" applyBorder="1" applyAlignment="1">
      <alignment horizontal="center"/>
    </xf>
    <xf numFmtId="0" fontId="23" fillId="2" borderId="15" xfId="0" applyNumberFormat="1" applyFont="1" applyFill="1" applyBorder="1" applyAlignment="1">
      <alignment horizontal="center"/>
    </xf>
    <xf numFmtId="0" fontId="24" fillId="2" borderId="19" xfId="0" applyFont="1" applyFill="1" applyBorder="1" applyAlignment="1">
      <alignment horizontal="center" vertical="center"/>
    </xf>
    <xf numFmtId="0" fontId="24" fillId="2" borderId="30" xfId="0" applyFont="1" applyFill="1" applyBorder="1" applyAlignment="1">
      <alignment horizontal="center" vertical="center"/>
    </xf>
    <xf numFmtId="0" fontId="24" fillId="2" borderId="9" xfId="0" applyNumberFormat="1" applyFont="1" applyFill="1" applyBorder="1" applyAlignment="1">
      <alignment horizontal="center"/>
    </xf>
    <xf numFmtId="0" fontId="24" fillId="2" borderId="10" xfId="0" applyFont="1" applyFill="1" applyBorder="1" applyAlignment="1">
      <alignment horizontal="center" vertical="center"/>
    </xf>
    <xf numFmtId="0" fontId="24" fillId="2" borderId="31" xfId="0" applyFont="1" applyFill="1" applyBorder="1" applyAlignment="1">
      <alignment horizontal="center" vertical="center"/>
    </xf>
    <xf numFmtId="0" fontId="28" fillId="5" borderId="44" xfId="0" applyFont="1" applyFill="1" applyBorder="1" applyAlignment="1">
      <alignment horizontal="left" vertical="center"/>
    </xf>
    <xf numFmtId="0" fontId="28" fillId="5" borderId="45" xfId="0" applyFont="1" applyFill="1" applyBorder="1" applyAlignment="1">
      <alignment horizontal="left" vertical="center"/>
    </xf>
    <xf numFmtId="0" fontId="28" fillId="5" borderId="40" xfId="0" applyFont="1" applyFill="1" applyBorder="1" applyAlignment="1">
      <alignment horizontal="left" vertical="center"/>
    </xf>
    <xf numFmtId="0" fontId="27" fillId="10" borderId="44" xfId="0" applyFont="1" applyFill="1" applyBorder="1" applyAlignment="1">
      <alignment horizontal="left" vertical="center" wrapText="1"/>
    </xf>
    <xf numFmtId="0" fontId="27" fillId="10" borderId="45" xfId="0" applyFont="1" applyFill="1" applyBorder="1" applyAlignment="1">
      <alignment horizontal="left" vertical="center" wrapText="1"/>
    </xf>
    <xf numFmtId="0" fontId="27" fillId="10" borderId="40" xfId="0" applyFont="1" applyFill="1" applyBorder="1" applyAlignment="1">
      <alignment horizontal="left" vertical="center" wrapText="1"/>
    </xf>
    <xf numFmtId="0" fontId="2" fillId="2" borderId="44" xfId="0" applyFont="1" applyFill="1" applyBorder="1" applyAlignment="1">
      <alignment horizontal="left" vertical="top" wrapText="1"/>
    </xf>
    <xf numFmtId="0" fontId="16" fillId="4" borderId="15" xfId="0" applyFont="1" applyFill="1" applyBorder="1" applyAlignment="1">
      <alignment horizontal="center" vertical="center"/>
    </xf>
    <xf numFmtId="0" fontId="16" fillId="4" borderId="31" xfId="0" applyFont="1" applyFill="1" applyBorder="1" applyAlignment="1">
      <alignment horizontal="center" vertical="center"/>
    </xf>
    <xf numFmtId="0" fontId="16" fillId="4" borderId="13" xfId="0" applyFont="1" applyFill="1" applyBorder="1" applyAlignment="1">
      <alignment horizontal="center" vertical="center"/>
    </xf>
    <xf numFmtId="0" fontId="16" fillId="4" borderId="30" xfId="0" applyFont="1" applyFill="1" applyBorder="1" applyAlignment="1">
      <alignment horizontal="center" vertical="center"/>
    </xf>
    <xf numFmtId="0" fontId="16" fillId="4" borderId="13" xfId="0" applyFont="1" applyFill="1" applyBorder="1" applyAlignment="1">
      <alignment horizontal="center"/>
    </xf>
    <xf numFmtId="0" fontId="16" fillId="4" borderId="17" xfId="0" applyFont="1" applyFill="1" applyBorder="1" applyAlignment="1">
      <alignment horizontal="center"/>
    </xf>
    <xf numFmtId="0" fontId="16" fillId="4" borderId="15" xfId="0" applyFont="1" applyFill="1" applyBorder="1" applyAlignment="1">
      <alignment horizontal="center" wrapText="1"/>
    </xf>
    <xf numFmtId="0" fontId="16" fillId="4" borderId="12" xfId="0" applyFont="1" applyFill="1" applyBorder="1" applyAlignment="1">
      <alignment horizontal="center" wrapText="1"/>
    </xf>
    <xf numFmtId="0" fontId="16" fillId="4" borderId="17" xfId="0" applyFont="1" applyFill="1" applyBorder="1" applyAlignment="1">
      <alignment horizontal="center" vertical="center"/>
    </xf>
    <xf numFmtId="0" fontId="16" fillId="4" borderId="26" xfId="0" applyFont="1" applyFill="1" applyBorder="1" applyAlignment="1">
      <alignment horizontal="center" vertical="center"/>
    </xf>
  </cellXfs>
  <cellStyles count="3">
    <cellStyle name="Millares" xfId="1" builtinId="3"/>
    <cellStyle name="Moneda" xfId="2" builtinId="4"/>
    <cellStyle name="Normal" xfId="0" builtinId="0"/>
  </cellStyles>
  <dxfs count="85">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val="0"/>
        <i val="0"/>
        <condense val="0"/>
        <extend val="0"/>
        <color indexed="8"/>
      </font>
      <fill>
        <patternFill>
          <bgColor indexed="13"/>
        </patternFill>
      </fill>
    </dxf>
    <dxf>
      <font>
        <b val="0"/>
        <i val="0"/>
        <condense val="0"/>
        <extend val="0"/>
        <color indexed="9"/>
      </font>
      <fill>
        <patternFill>
          <bgColor indexed="17"/>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3366FF"/>
        </patternFill>
      </fill>
    </dxf>
  </dxfs>
  <tableStyles count="0" defaultTableStyle="TableStyleMedium2" defaultPivotStyle="PivotStyleLight16"/>
  <colors>
    <mruColors>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ENERO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BIorritmo!$E$2:$E$32</c:f>
              <c:numCache>
                <c:formatCode>General</c:formatCode>
                <c:ptCount val="31"/>
                <c:pt idx="0">
                  <c:v>-0.97492791218173125</c:v>
                </c:pt>
                <c:pt idx="1">
                  <c:v>-0.99720379718123475</c:v>
                </c:pt>
                <c:pt idx="2">
                  <c:v>-0.93087374864458605</c:v>
                </c:pt>
                <c:pt idx="3">
                  <c:v>-0.78183148246831069</c:v>
                </c:pt>
                <c:pt idx="4">
                  <c:v>-0.56332005806425456</c:v>
                </c:pt>
                <c:pt idx="5">
                  <c:v>-0.29475517441019866</c:v>
                </c:pt>
                <c:pt idx="6">
                  <c:v>-4.8612849856688456E-13</c:v>
                </c:pt>
                <c:pt idx="7">
                  <c:v>0.29475517441013865</c:v>
                </c:pt>
                <c:pt idx="8">
                  <c:v>0.56332005806420271</c:v>
                </c:pt>
                <c:pt idx="9">
                  <c:v>0.78183148246770451</c:v>
                </c:pt>
                <c:pt idx="10">
                  <c:v>0.9308737486438986</c:v>
                </c:pt>
                <c:pt idx="11">
                  <c:v>0.99720379718116203</c:v>
                </c:pt>
                <c:pt idx="12">
                  <c:v>0.97492791218194763</c:v>
                </c:pt>
                <c:pt idx="13">
                  <c:v>0.8660254037848748</c:v>
                </c:pt>
                <c:pt idx="14">
                  <c:v>0.68017273777112308</c:v>
                </c:pt>
                <c:pt idx="15">
                  <c:v>0.43388373911809225</c:v>
                </c:pt>
                <c:pt idx="16">
                  <c:v>0.14904226617707214</c:v>
                </c:pt>
                <c:pt idx="17">
                  <c:v>-0.14904226617586458</c:v>
                </c:pt>
                <c:pt idx="18">
                  <c:v>-0.43388373911699196</c:v>
                </c:pt>
                <c:pt idx="19">
                  <c:v>-0.6801727377702278</c:v>
                </c:pt>
                <c:pt idx="20">
                  <c:v>-0.86602540378426418</c:v>
                </c:pt>
                <c:pt idx="21">
                  <c:v>-0.97492791218167585</c:v>
                </c:pt>
                <c:pt idx="22">
                  <c:v>-0.99720379718118535</c:v>
                </c:pt>
                <c:pt idx="23">
                  <c:v>-0.93087374864434469</c:v>
                </c:pt>
                <c:pt idx="24">
                  <c:v>-0.7818314824684659</c:v>
                </c:pt>
                <c:pt idx="25">
                  <c:v>-0.56332005806370877</c:v>
                </c:pt>
                <c:pt idx="26">
                  <c:v>-0.29475517441130561</c:v>
                </c:pt>
                <c:pt idx="27">
                  <c:v>-7.3506348577390135E-13</c:v>
                </c:pt>
                <c:pt idx="28">
                  <c:v>0.29475517441076987</c:v>
                </c:pt>
                <c:pt idx="29">
                  <c:v>0.56332005806324559</c:v>
                </c:pt>
                <c:pt idx="30">
                  <c:v>0.7818314824675493</c:v>
                </c:pt>
              </c:numCache>
            </c:numRef>
          </c:val>
          <c:smooth val="0"/>
          <c:extLst>
            <c:ext xmlns:c16="http://schemas.microsoft.com/office/drawing/2014/chart" uri="{C3380CC4-5D6E-409C-BE32-E72D297353CC}">
              <c16:uniqueId val="{00000000-15BB-426F-8A03-57E4D24A465A}"/>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BIorritmo!$F$2:$F$32</c:f>
              <c:numCache>
                <c:formatCode>General</c:formatCode>
                <c:ptCount val="31"/>
                <c:pt idx="0">
                  <c:v>-0.97492791218179164</c:v>
                </c:pt>
                <c:pt idx="1">
                  <c:v>-0.90096886790245934</c:v>
                </c:pt>
                <c:pt idx="2">
                  <c:v>-0.78183148246823497</c:v>
                </c:pt>
                <c:pt idx="3">
                  <c:v>-0.62348980185846448</c:v>
                </c:pt>
                <c:pt idx="4">
                  <c:v>-0.43388373911828032</c:v>
                </c:pt>
                <c:pt idx="5">
                  <c:v>-0.22252093395643952</c:v>
                </c:pt>
                <c:pt idx="6">
                  <c:v>-3.6459637392516342E-13</c:v>
                </c:pt>
                <c:pt idx="7">
                  <c:v>0.22252093395572861</c:v>
                </c:pt>
                <c:pt idx="8">
                  <c:v>0.43388373911762335</c:v>
                </c:pt>
                <c:pt idx="9">
                  <c:v>0.62348980185860536</c:v>
                </c:pt>
                <c:pt idx="10">
                  <c:v>0.78183148246778034</c:v>
                </c:pt>
                <c:pt idx="11">
                  <c:v>0.90096886790253761</c:v>
                </c:pt>
                <c:pt idx="12">
                  <c:v>0.97492791218183183</c:v>
                </c:pt>
                <c:pt idx="13">
                  <c:v>1</c:v>
                </c:pt>
                <c:pt idx="14">
                  <c:v>0.97492791218171815</c:v>
                </c:pt>
                <c:pt idx="15">
                  <c:v>0.90096886790271069</c:v>
                </c:pt>
                <c:pt idx="16">
                  <c:v>0.78183148246859613</c:v>
                </c:pt>
                <c:pt idx="17">
                  <c:v>0.62348980185891723</c:v>
                </c:pt>
                <c:pt idx="18">
                  <c:v>0.43388373911798273</c:v>
                </c:pt>
                <c:pt idx="19">
                  <c:v>0.2225209339570042</c:v>
                </c:pt>
                <c:pt idx="20">
                  <c:v>3.4316516642207695E-14</c:v>
                </c:pt>
                <c:pt idx="21">
                  <c:v>-0.2225209339560506</c:v>
                </c:pt>
                <c:pt idx="22">
                  <c:v>-0.43388373911792089</c:v>
                </c:pt>
                <c:pt idx="23">
                  <c:v>-0.6234898018588636</c:v>
                </c:pt>
                <c:pt idx="24">
                  <c:v>-0.78183148246798628</c:v>
                </c:pt>
                <c:pt idx="25">
                  <c:v>-0.90096886790268094</c:v>
                </c:pt>
                <c:pt idx="26">
                  <c:v>-0.97492791218170294</c:v>
                </c:pt>
                <c:pt idx="27">
                  <c:v>-1</c:v>
                </c:pt>
                <c:pt idx="28">
                  <c:v>-0.97492791218184705</c:v>
                </c:pt>
                <c:pt idx="29">
                  <c:v>-0.90096886790256736</c:v>
                </c:pt>
                <c:pt idx="30">
                  <c:v>-0.78183148246839018</c:v>
                </c:pt>
              </c:numCache>
            </c:numRef>
          </c:val>
          <c:smooth val="0"/>
          <c:extLst>
            <c:ext xmlns:c16="http://schemas.microsoft.com/office/drawing/2014/chart" uri="{C3380CC4-5D6E-409C-BE32-E72D297353CC}">
              <c16:uniqueId val="{00000001-15BB-426F-8A03-57E4D24A465A}"/>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BIorritmo!$G$2:$G$32</c:f>
              <c:numCache>
                <c:formatCode>General</c:formatCode>
                <c:ptCount val="31"/>
                <c:pt idx="0">
                  <c:v>0.28173255684128645</c:v>
                </c:pt>
                <c:pt idx="1">
                  <c:v>9.5056043304315899E-2</c:v>
                </c:pt>
                <c:pt idx="2">
                  <c:v>-9.5056043303767573E-2</c:v>
                </c:pt>
                <c:pt idx="3">
                  <c:v>-0.28173255684163057</c:v>
                </c:pt>
                <c:pt idx="4">
                  <c:v>-0.45822652172734479</c:v>
                </c:pt>
                <c:pt idx="5">
                  <c:v>-0.6181589862210396</c:v>
                </c:pt>
                <c:pt idx="6">
                  <c:v>-0.75574957435443468</c:v>
                </c:pt>
                <c:pt idx="7">
                  <c:v>-0.86602540378443182</c:v>
                </c:pt>
                <c:pt idx="8">
                  <c:v>-0.94500081871486885</c:v>
                </c:pt>
                <c:pt idx="9">
                  <c:v>-0.98982144188085019</c:v>
                </c:pt>
                <c:pt idx="10">
                  <c:v>-0.99886733918304904</c:v>
                </c:pt>
                <c:pt idx="11">
                  <c:v>-0.9718115683235975</c:v>
                </c:pt>
                <c:pt idx="12">
                  <c:v>-0.90963199535473438</c:v>
                </c:pt>
                <c:pt idx="13">
                  <c:v>-0.81457595205080158</c:v>
                </c:pt>
                <c:pt idx="14">
                  <c:v>-0.69007901148223993</c:v>
                </c:pt>
                <c:pt idx="15">
                  <c:v>-0.54064081745598447</c:v>
                </c:pt>
                <c:pt idx="16">
                  <c:v>-0.37166245566101735</c:v>
                </c:pt>
                <c:pt idx="17">
                  <c:v>-0.18925124436052482</c:v>
                </c:pt>
                <c:pt idx="18">
                  <c:v>-3.9987631261784173E-13</c:v>
                </c:pt>
                <c:pt idx="19">
                  <c:v>0.18925124435973953</c:v>
                </c:pt>
                <c:pt idx="20">
                  <c:v>0.37166245566027489</c:v>
                </c:pt>
                <c:pt idx="21">
                  <c:v>0.54064081745531167</c:v>
                </c:pt>
                <c:pt idx="22">
                  <c:v>0.69007901148231932</c:v>
                </c:pt>
                <c:pt idx="23">
                  <c:v>0.81457595205033761</c:v>
                </c:pt>
                <c:pt idx="24">
                  <c:v>0.9096319953544022</c:v>
                </c:pt>
                <c:pt idx="25">
                  <c:v>0.97181156832362336</c:v>
                </c:pt>
                <c:pt idx="26">
                  <c:v>0.99886733918301096</c:v>
                </c:pt>
                <c:pt idx="27">
                  <c:v>0.98982144188096399</c:v>
                </c:pt>
                <c:pt idx="28">
                  <c:v>0.94500081871453545</c:v>
                </c:pt>
                <c:pt idx="29">
                  <c:v>0.86602540378437687</c:v>
                </c:pt>
                <c:pt idx="30">
                  <c:v>0.75574957435436285</c:v>
                </c:pt>
              </c:numCache>
            </c:numRef>
          </c:val>
          <c:smooth val="0"/>
          <c:extLst>
            <c:ext xmlns:c16="http://schemas.microsoft.com/office/drawing/2014/chart" uri="{C3380CC4-5D6E-409C-BE32-E72D297353CC}">
              <c16:uniqueId val="{00000002-15BB-426F-8A03-57E4D24A465A}"/>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OCTUBRE</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BIorritmo!$E$275:$E$305</c:f>
              <c:numCache>
                <c:formatCode>General</c:formatCode>
                <c:ptCount val="31"/>
                <c:pt idx="0">
                  <c:v>-0.97492791218182062</c:v>
                </c:pt>
                <c:pt idx="1">
                  <c:v>-0.99720379718120467</c:v>
                </c:pt>
                <c:pt idx="2">
                  <c:v>-0.93087374864410699</c:v>
                </c:pt>
                <c:pt idx="3">
                  <c:v>-0.78183148246806022</c:v>
                </c:pt>
                <c:pt idx="4">
                  <c:v>-0.5633200580639226</c:v>
                </c:pt>
                <c:pt idx="5">
                  <c:v>-0.29475517441068377</c:v>
                </c:pt>
                <c:pt idx="6">
                  <c:v>-8.4304525166389865E-14</c:v>
                </c:pt>
                <c:pt idx="7">
                  <c:v>0.29475517440965354</c:v>
                </c:pt>
                <c:pt idx="8">
                  <c:v>0.56332005806378327</c:v>
                </c:pt>
                <c:pt idx="9">
                  <c:v>0.78183148246795509</c:v>
                </c:pt>
                <c:pt idx="10">
                  <c:v>0.93087374864371308</c:v>
                </c:pt>
                <c:pt idx="11">
                  <c:v>0.99720379718119212</c:v>
                </c:pt>
                <c:pt idx="12">
                  <c:v>0.97492791218185815</c:v>
                </c:pt>
                <c:pt idx="13">
                  <c:v>0.86602540378421911</c:v>
                </c:pt>
                <c:pt idx="14">
                  <c:v>0.68017273777082843</c:v>
                </c:pt>
                <c:pt idx="15">
                  <c:v>0.4338837391177302</c:v>
                </c:pt>
                <c:pt idx="16">
                  <c:v>0.14904226617577546</c:v>
                </c:pt>
                <c:pt idx="17">
                  <c:v>-0.14904226617626193</c:v>
                </c:pt>
                <c:pt idx="18">
                  <c:v>-0.43388373911653455</c:v>
                </c:pt>
                <c:pt idx="19">
                  <c:v>-0.68017273777118914</c:v>
                </c:pt>
                <c:pt idx="20">
                  <c:v>-0.86602540378446513</c:v>
                </c:pt>
                <c:pt idx="21">
                  <c:v>-0.97492791218156294</c:v>
                </c:pt>
                <c:pt idx="22">
                  <c:v>-0.99720379718115526</c:v>
                </c:pt>
                <c:pt idx="23">
                  <c:v>-0.93087374864419792</c:v>
                </c:pt>
                <c:pt idx="24">
                  <c:v>-0.78183148246878242</c:v>
                </c:pt>
                <c:pt idx="25">
                  <c:v>-0.56332005806337682</c:v>
                </c:pt>
                <c:pt idx="26">
                  <c:v>-0.29475517441092164</c:v>
                </c:pt>
                <c:pt idx="27">
                  <c:v>-1.2427342141463349E-12</c:v>
                </c:pt>
                <c:pt idx="28">
                  <c:v>0.29475517441115384</c:v>
                </c:pt>
                <c:pt idx="29">
                  <c:v>0.56332005806282615</c:v>
                </c:pt>
                <c:pt idx="30">
                  <c:v>0.78183148246836698</c:v>
                </c:pt>
              </c:numCache>
            </c:numRef>
          </c:val>
          <c:smooth val="0"/>
          <c:extLst>
            <c:ext xmlns:c16="http://schemas.microsoft.com/office/drawing/2014/chart" uri="{C3380CC4-5D6E-409C-BE32-E72D297353CC}">
              <c16:uniqueId val="{00000000-88D1-4298-A37C-DA766846CD54}"/>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BIorritmo!$F$275:$F$305</c:f>
              <c:numCache>
                <c:formatCode>General</c:formatCode>
                <c:ptCount val="31"/>
                <c:pt idx="0">
                  <c:v>-0.22252093395652645</c:v>
                </c:pt>
                <c:pt idx="1">
                  <c:v>-0.43388373911672179</c:v>
                </c:pt>
                <c:pt idx="2">
                  <c:v>-0.62348980185853409</c:v>
                </c:pt>
                <c:pt idx="3">
                  <c:v>-0.78183148246772349</c:v>
                </c:pt>
                <c:pt idx="4">
                  <c:v>-0.9009688679021034</c:v>
                </c:pt>
                <c:pt idx="5">
                  <c:v>-0.97492791218181152</c:v>
                </c:pt>
                <c:pt idx="6">
                  <c:v>-1</c:v>
                </c:pt>
                <c:pt idx="7">
                  <c:v>-0.97492791218194086</c:v>
                </c:pt>
                <c:pt idx="8">
                  <c:v>-0.90096886790235564</c:v>
                </c:pt>
                <c:pt idx="9">
                  <c:v>-0.78183148246808587</c:v>
                </c:pt>
                <c:pt idx="10">
                  <c:v>-0.6234898018589885</c:v>
                </c:pt>
                <c:pt idx="11">
                  <c:v>-0.43388373911724543</c:v>
                </c:pt>
                <c:pt idx="12">
                  <c:v>-0.22252093395709308</c:v>
                </c:pt>
                <c:pt idx="13">
                  <c:v>-1.254621406765466E-13</c:v>
                </c:pt>
                <c:pt idx="14">
                  <c:v>0.22252093395596176</c:v>
                </c:pt>
                <c:pt idx="15">
                  <c:v>0.43388373911701933</c:v>
                </c:pt>
                <c:pt idx="16">
                  <c:v>0.62348980185879233</c:v>
                </c:pt>
                <c:pt idx="17">
                  <c:v>0.78183148246792944</c:v>
                </c:pt>
                <c:pt idx="18">
                  <c:v>0.90096886790224673</c:v>
                </c:pt>
                <c:pt idx="19">
                  <c:v>0.97492791218188501</c:v>
                </c:pt>
                <c:pt idx="20">
                  <c:v>1</c:v>
                </c:pt>
                <c:pt idx="21">
                  <c:v>0.97492791218186736</c:v>
                </c:pt>
                <c:pt idx="22">
                  <c:v>0.90096886790221231</c:v>
                </c:pt>
                <c:pt idx="23">
                  <c:v>0.78183148246844703</c:v>
                </c:pt>
                <c:pt idx="24">
                  <c:v>0.62348980185944136</c:v>
                </c:pt>
                <c:pt idx="25">
                  <c:v>0.43388373911776729</c:v>
                </c:pt>
                <c:pt idx="26">
                  <c:v>0.22252093395677108</c:v>
                </c:pt>
                <c:pt idx="27">
                  <c:v>7.0467698516651911E-13</c:v>
                </c:pt>
                <c:pt idx="28">
                  <c:v>-0.22252093395628375</c:v>
                </c:pt>
                <c:pt idx="29">
                  <c:v>-0.43388373911731692</c:v>
                </c:pt>
                <c:pt idx="30">
                  <c:v>-0.62348980185905056</c:v>
                </c:pt>
              </c:numCache>
            </c:numRef>
          </c:val>
          <c:smooth val="0"/>
          <c:extLst>
            <c:ext xmlns:c16="http://schemas.microsoft.com/office/drawing/2014/chart" uri="{C3380CC4-5D6E-409C-BE32-E72D297353CC}">
              <c16:uniqueId val="{00000001-88D1-4298-A37C-DA766846CD54}"/>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BIorritmo!$G$275:$G$305</c:f>
              <c:numCache>
                <c:formatCode>General</c:formatCode>
                <c:ptCount val="31"/>
                <c:pt idx="0">
                  <c:v>-0.98982144188095511</c:v>
                </c:pt>
                <c:pt idx="1">
                  <c:v>-0.99886733918301396</c:v>
                </c:pt>
                <c:pt idx="2">
                  <c:v>-0.97181156832342375</c:v>
                </c:pt>
                <c:pt idx="3">
                  <c:v>-0.90963199535442818</c:v>
                </c:pt>
                <c:pt idx="4">
                  <c:v>-0.81457595205037403</c:v>
                </c:pt>
                <c:pt idx="5">
                  <c:v>-0.69007901148236472</c:v>
                </c:pt>
                <c:pt idx="6">
                  <c:v>-0.54064081745612957</c:v>
                </c:pt>
                <c:pt idx="7">
                  <c:v>-0.3716624556611775</c:v>
                </c:pt>
                <c:pt idx="8">
                  <c:v>-0.18925124436069421</c:v>
                </c:pt>
                <c:pt idx="9">
                  <c:v>-5.7236680672811957E-13</c:v>
                </c:pt>
                <c:pt idx="10">
                  <c:v>0.18925124435957014</c:v>
                </c:pt>
                <c:pt idx="11">
                  <c:v>0.37166245566011474</c:v>
                </c:pt>
                <c:pt idx="12">
                  <c:v>0.54064081745516657</c:v>
                </c:pt>
                <c:pt idx="13">
                  <c:v>0.69007901148219453</c:v>
                </c:pt>
                <c:pt idx="14">
                  <c:v>0.81457595205023758</c:v>
                </c:pt>
                <c:pt idx="15">
                  <c:v>0.90963199535433048</c:v>
                </c:pt>
                <c:pt idx="16">
                  <c:v>0.97181156832358273</c:v>
                </c:pt>
                <c:pt idx="17">
                  <c:v>0.99886733918300274</c:v>
                </c:pt>
                <c:pt idx="18">
                  <c:v>0.98982144188098853</c:v>
                </c:pt>
                <c:pt idx="19">
                  <c:v>0.94500081871459196</c:v>
                </c:pt>
                <c:pt idx="20">
                  <c:v>0.86602540378446313</c:v>
                </c:pt>
                <c:pt idx="21">
                  <c:v>0.75574957435447576</c:v>
                </c:pt>
                <c:pt idx="22">
                  <c:v>0.61815898622037402</c:v>
                </c:pt>
                <c:pt idx="23">
                  <c:v>0.45822652172740058</c:v>
                </c:pt>
                <c:pt idx="24">
                  <c:v>0.2817325568416908</c:v>
                </c:pt>
                <c:pt idx="25">
                  <c:v>9.5056043303830037E-2</c:v>
                </c:pt>
                <c:pt idx="26">
                  <c:v>-9.5056043304253435E-2</c:v>
                </c:pt>
                <c:pt idx="27">
                  <c:v>-0.28173255684122622</c:v>
                </c:pt>
                <c:pt idx="28">
                  <c:v>-0.45822652172777861</c:v>
                </c:pt>
                <c:pt idx="29">
                  <c:v>-0.61815898621999343</c:v>
                </c:pt>
                <c:pt idx="30">
                  <c:v>-0.75574957435415879</c:v>
                </c:pt>
              </c:numCache>
            </c:numRef>
          </c:val>
          <c:smooth val="0"/>
          <c:extLst>
            <c:ext xmlns:c16="http://schemas.microsoft.com/office/drawing/2014/chart" uri="{C3380CC4-5D6E-409C-BE32-E72D297353CC}">
              <c16:uniqueId val="{00000002-88D1-4298-A37C-DA766846CD54}"/>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NOVIEMBRE</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BIorritmo!$E$306:$E$335</c:f>
              <c:numCache>
                <c:formatCode>General</c:formatCode>
                <c:ptCount val="30"/>
                <c:pt idx="0">
                  <c:v>0.93087374864428674</c:v>
                </c:pt>
                <c:pt idx="1">
                  <c:v>0.99720379718110552</c:v>
                </c:pt>
                <c:pt idx="2">
                  <c:v>0.97492791218171115</c:v>
                </c:pt>
                <c:pt idx="3">
                  <c:v>0.86602540378434356</c:v>
                </c:pt>
                <c:pt idx="4">
                  <c:v>0.68017273777167764</c:v>
                </c:pt>
                <c:pt idx="5">
                  <c:v>0.43388373911713507</c:v>
                </c:pt>
                <c:pt idx="6">
                  <c:v>0.14904226617602162</c:v>
                </c:pt>
                <c:pt idx="7">
                  <c:v>-0.14904226617511643</c:v>
                </c:pt>
                <c:pt idx="8">
                  <c:v>-0.43388373911794914</c:v>
                </c:pt>
                <c:pt idx="9">
                  <c:v>-0.68017273777033993</c:v>
                </c:pt>
                <c:pt idx="10">
                  <c:v>-0.86602540378388593</c:v>
                </c:pt>
                <c:pt idx="11">
                  <c:v>-0.97492791218191222</c:v>
                </c:pt>
                <c:pt idx="12">
                  <c:v>-0.99720379718124186</c:v>
                </c:pt>
                <c:pt idx="13">
                  <c:v>-0.93087374864462114</c:v>
                </c:pt>
                <c:pt idx="14">
                  <c:v>-0.78183148246780354</c:v>
                </c:pt>
                <c:pt idx="15">
                  <c:v>-0.56332005806433394</c:v>
                </c:pt>
                <c:pt idx="16">
                  <c:v>-0.29475517441202859</c:v>
                </c:pt>
                <c:pt idx="17">
                  <c:v>3.2732020219250479E-13</c:v>
                </c:pt>
                <c:pt idx="18">
                  <c:v>0.29475517441004689</c:v>
                </c:pt>
                <c:pt idx="19">
                  <c:v>0.56332005806412333</c:v>
                </c:pt>
                <c:pt idx="20">
                  <c:v>0.78183148246764467</c:v>
                </c:pt>
                <c:pt idx="21">
                  <c:v>0.93087374864386352</c:v>
                </c:pt>
                <c:pt idx="22">
                  <c:v>0.99720379718122287</c:v>
                </c:pt>
                <c:pt idx="23">
                  <c:v>0.97492791218196895</c:v>
                </c:pt>
                <c:pt idx="24">
                  <c:v>0.86602540378492276</c:v>
                </c:pt>
                <c:pt idx="25">
                  <c:v>0.68017273777052678</c:v>
                </c:pt>
                <c:pt idx="26">
                  <c:v>0.43388373911817874</c:v>
                </c:pt>
                <c:pt idx="27">
                  <c:v>0.14904226617716712</c:v>
                </c:pt>
                <c:pt idx="28">
                  <c:v>-0.14904226617666896</c:v>
                </c:pt>
                <c:pt idx="29">
                  <c:v>-0.43388373911690542</c:v>
                </c:pt>
              </c:numCache>
            </c:numRef>
          </c:val>
          <c:smooth val="0"/>
          <c:extLst>
            <c:ext xmlns:c16="http://schemas.microsoft.com/office/drawing/2014/chart" uri="{C3380CC4-5D6E-409C-BE32-E72D297353CC}">
              <c16:uniqueId val="{00000000-C0CD-40AF-A58A-5F5C7B2670CA}"/>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BIorritmo!$F$306:$F$335</c:f>
              <c:numCache>
                <c:formatCode>General</c:formatCode>
                <c:ptCount val="30"/>
                <c:pt idx="0">
                  <c:v>-0.78183148246813539</c:v>
                </c:pt>
                <c:pt idx="1">
                  <c:v>-0.90096886790239006</c:v>
                </c:pt>
                <c:pt idx="2">
                  <c:v>-0.97492791218195851</c:v>
                </c:pt>
                <c:pt idx="3">
                  <c:v>-1</c:v>
                </c:pt>
                <c:pt idx="4">
                  <c:v>-0.97492791218199626</c:v>
                </c:pt>
                <c:pt idx="5">
                  <c:v>-0.90096886790246367</c:v>
                </c:pt>
                <c:pt idx="6">
                  <c:v>-0.78183148246824108</c:v>
                </c:pt>
                <c:pt idx="7">
                  <c:v>-0.62348980185918312</c:v>
                </c:pt>
                <c:pt idx="8">
                  <c:v>-0.43388373911746969</c:v>
                </c:pt>
                <c:pt idx="9">
                  <c:v>-0.22252093395644906</c:v>
                </c:pt>
                <c:pt idx="10">
                  <c:v>-3.7439712788356339E-13</c:v>
                </c:pt>
                <c:pt idx="11">
                  <c:v>0.22252093395660574</c:v>
                </c:pt>
                <c:pt idx="12">
                  <c:v>0.43388373911761452</c:v>
                </c:pt>
                <c:pt idx="13">
                  <c:v>0.62348980185788661</c:v>
                </c:pt>
                <c:pt idx="14">
                  <c:v>0.78183148246777423</c:v>
                </c:pt>
                <c:pt idx="15">
                  <c:v>0.9009688679021387</c:v>
                </c:pt>
                <c:pt idx="16">
                  <c:v>0.97492791218162722</c:v>
                </c:pt>
                <c:pt idx="17">
                  <c:v>1</c:v>
                </c:pt>
                <c:pt idx="18">
                  <c:v>0.97492791218192276</c:v>
                </c:pt>
                <c:pt idx="19">
                  <c:v>0.90096886790232034</c:v>
                </c:pt>
                <c:pt idx="20">
                  <c:v>0.78183148246803513</c:v>
                </c:pt>
                <c:pt idx="21">
                  <c:v>0.62348980185892489</c:v>
                </c:pt>
                <c:pt idx="22">
                  <c:v>0.43388373911717215</c:v>
                </c:pt>
                <c:pt idx="23">
                  <c:v>0.22252093395612707</c:v>
                </c:pt>
                <c:pt idx="24">
                  <c:v>9.536119723735359E-13</c:v>
                </c:pt>
                <c:pt idx="25">
                  <c:v>-0.22252093395604106</c:v>
                </c:pt>
                <c:pt idx="26">
                  <c:v>-0.43388373911709266</c:v>
                </c:pt>
                <c:pt idx="27">
                  <c:v>-0.62348980185814484</c:v>
                </c:pt>
                <c:pt idx="28">
                  <c:v>-0.78183148246798018</c:v>
                </c:pt>
                <c:pt idx="29">
                  <c:v>-0.90096886790228203</c:v>
                </c:pt>
              </c:numCache>
            </c:numRef>
          </c:val>
          <c:smooth val="0"/>
          <c:extLst>
            <c:ext xmlns:c16="http://schemas.microsoft.com/office/drawing/2014/chart" uri="{C3380CC4-5D6E-409C-BE32-E72D297353CC}">
              <c16:uniqueId val="{00000001-C0CD-40AF-A58A-5F5C7B2670CA}"/>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BIorritmo!$G$306:$G$335</c:f>
              <c:numCache>
                <c:formatCode>General</c:formatCode>
                <c:ptCount val="30"/>
                <c:pt idx="0">
                  <c:v>-0.8660254037842211</c:v>
                </c:pt>
                <c:pt idx="1">
                  <c:v>-0.94500081871443353</c:v>
                </c:pt>
                <c:pt idx="2">
                  <c:v>-0.98982144188091969</c:v>
                </c:pt>
                <c:pt idx="3">
                  <c:v>-0.99886733918302584</c:v>
                </c:pt>
                <c:pt idx="4">
                  <c:v>-0.97181156832369686</c:v>
                </c:pt>
                <c:pt idx="5">
                  <c:v>-0.90963199535453165</c:v>
                </c:pt>
                <c:pt idx="6">
                  <c:v>-0.81457595205051847</c:v>
                </c:pt>
                <c:pt idx="7">
                  <c:v>-0.69007901148254491</c:v>
                </c:pt>
                <c:pt idx="8">
                  <c:v>-0.54064081745557391</c:v>
                </c:pt>
                <c:pt idx="9">
                  <c:v>-0.37166245566056427</c:v>
                </c:pt>
                <c:pt idx="10">
                  <c:v>-0.18925124436093863</c:v>
                </c:pt>
                <c:pt idx="11">
                  <c:v>8.8192907837791878E-14</c:v>
                </c:pt>
                <c:pt idx="12">
                  <c:v>0.18925124436021878</c:v>
                </c:pt>
                <c:pt idx="13">
                  <c:v>0.37166245565988365</c:v>
                </c:pt>
                <c:pt idx="14">
                  <c:v>0.54064081745572234</c:v>
                </c:pt>
                <c:pt idx="15">
                  <c:v>0.69007901148201434</c:v>
                </c:pt>
                <c:pt idx="16">
                  <c:v>0.81457595205009325</c:v>
                </c:pt>
                <c:pt idx="17">
                  <c:v>0.90963199535460493</c:v>
                </c:pt>
                <c:pt idx="18">
                  <c:v>0.971811568323524</c:v>
                </c:pt>
                <c:pt idx="19">
                  <c:v>0.99886733918303416</c:v>
                </c:pt>
                <c:pt idx="20">
                  <c:v>0.98982144188089449</c:v>
                </c:pt>
                <c:pt idx="21">
                  <c:v>0.94500081871467334</c:v>
                </c:pt>
                <c:pt idx="22">
                  <c:v>0.86602540378458759</c:v>
                </c:pt>
                <c:pt idx="23">
                  <c:v>0.75574957435463885</c:v>
                </c:pt>
                <c:pt idx="24">
                  <c:v>0.61815898622128451</c:v>
                </c:pt>
                <c:pt idx="25">
                  <c:v>0.45822652172762185</c:v>
                </c:pt>
                <c:pt idx="26">
                  <c:v>0.28173255684192966</c:v>
                </c:pt>
                <c:pt idx="27">
                  <c:v>9.5056043304983212E-2</c:v>
                </c:pt>
                <c:pt idx="28">
                  <c:v>-9.5056043304005619E-2</c:v>
                </c:pt>
                <c:pt idx="29">
                  <c:v>-0.28173255684098736</c:v>
                </c:pt>
              </c:numCache>
            </c:numRef>
          </c:val>
          <c:smooth val="0"/>
          <c:extLst>
            <c:ext xmlns:c16="http://schemas.microsoft.com/office/drawing/2014/chart" uri="{C3380CC4-5D6E-409C-BE32-E72D297353CC}">
              <c16:uniqueId val="{00000002-C0CD-40AF-A58A-5F5C7B2670CA}"/>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DICIEMBRE</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BIorritmo!$E$336:$E$366</c:f>
              <c:numCache>
                <c:formatCode>General</c:formatCode>
                <c:ptCount val="31"/>
                <c:pt idx="0">
                  <c:v>-0.68017273777015741</c:v>
                </c:pt>
                <c:pt idx="1">
                  <c:v>-0.86602540378421622</c:v>
                </c:pt>
                <c:pt idx="2">
                  <c:v>-0.97492791218165453</c:v>
                </c:pt>
                <c:pt idx="3">
                  <c:v>-0.99720379718126051</c:v>
                </c:pt>
                <c:pt idx="4">
                  <c:v>-0.93087374864404748</c:v>
                </c:pt>
                <c:pt idx="5">
                  <c:v>-0.78183148246795875</c:v>
                </c:pt>
                <c:pt idx="6">
                  <c:v>-0.56332005806378815</c:v>
                </c:pt>
                <c:pt idx="7">
                  <c:v>-0.29475517441139737</c:v>
                </c:pt>
                <c:pt idx="8">
                  <c:v>-8.3110948678744023E-13</c:v>
                </c:pt>
                <c:pt idx="9">
                  <c:v>0.29475517441154719</c:v>
                </c:pt>
                <c:pt idx="10">
                  <c:v>0.56332005806391772</c:v>
                </c:pt>
                <c:pt idx="11">
                  <c:v>0.78183148246805656</c:v>
                </c:pt>
                <c:pt idx="12">
                  <c:v>0.93087374864410477</c:v>
                </c:pt>
                <c:pt idx="13">
                  <c:v>0.99720379718113628</c:v>
                </c:pt>
                <c:pt idx="14">
                  <c:v>0.97492791218202435</c:v>
                </c:pt>
                <c:pt idx="15">
                  <c:v>0.86602540378413773</c:v>
                </c:pt>
                <c:pt idx="16">
                  <c:v>0.68017273777070919</c:v>
                </c:pt>
                <c:pt idx="17">
                  <c:v>0.4338837391175836</c:v>
                </c:pt>
                <c:pt idx="18">
                  <c:v>0.14904226617651392</c:v>
                </c:pt>
                <c:pt idx="19">
                  <c:v>-0.14904226617552346</c:v>
                </c:pt>
                <c:pt idx="20">
                  <c:v>-0.43388373911668116</c:v>
                </c:pt>
                <c:pt idx="21">
                  <c:v>-0.68017273777130838</c:v>
                </c:pt>
                <c:pt idx="22">
                  <c:v>-0.8660254037845464</c:v>
                </c:pt>
                <c:pt idx="23">
                  <c:v>-0.97492791218180153</c:v>
                </c:pt>
                <c:pt idx="24">
                  <c:v>-0.9972037971812111</c:v>
                </c:pt>
                <c:pt idx="25">
                  <c:v>-0.93087374864447081</c:v>
                </c:pt>
                <c:pt idx="26">
                  <c:v>-0.78183148246754686</c:v>
                </c:pt>
                <c:pt idx="27">
                  <c:v>-0.56332005806324237</c:v>
                </c:pt>
                <c:pt idx="28">
                  <c:v>-0.29475517441076615</c:v>
                </c:pt>
                <c:pt idx="29">
                  <c:v>-1.7054977222152878E-13</c:v>
                </c:pt>
                <c:pt idx="30">
                  <c:v>0.29475517441044025</c:v>
                </c:pt>
              </c:numCache>
            </c:numRef>
          </c:val>
          <c:smooth val="0"/>
          <c:extLst>
            <c:ext xmlns:c16="http://schemas.microsoft.com/office/drawing/2014/chart" uri="{C3380CC4-5D6E-409C-BE32-E72D297353CC}">
              <c16:uniqueId val="{00000000-2043-4DDD-BE86-FA0B4CD678E0}"/>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BIorritmo!$F$336:$F$366</c:f>
              <c:numCache>
                <c:formatCode>General</c:formatCode>
                <c:ptCount val="31"/>
                <c:pt idx="0">
                  <c:v>-0.97492791218170072</c:v>
                </c:pt>
                <c:pt idx="1">
                  <c:v>-1</c:v>
                </c:pt>
                <c:pt idx="2">
                  <c:v>-0.97492791218184927</c:v>
                </c:pt>
                <c:pt idx="3">
                  <c:v>-0.90096886790257169</c:v>
                </c:pt>
                <c:pt idx="4">
                  <c:v>-0.78183148246782919</c:v>
                </c:pt>
                <c:pt idx="5">
                  <c:v>-0.62348980185937775</c:v>
                </c:pt>
                <c:pt idx="6">
                  <c:v>-0.43388373911769401</c:v>
                </c:pt>
                <c:pt idx="7">
                  <c:v>-0.22252093395669176</c:v>
                </c:pt>
                <c:pt idx="8">
                  <c:v>-6.2333211509058017E-13</c:v>
                </c:pt>
                <c:pt idx="9">
                  <c:v>0.22252093395636305</c:v>
                </c:pt>
                <c:pt idx="10">
                  <c:v>0.4338837391173902</c:v>
                </c:pt>
                <c:pt idx="11">
                  <c:v>0.62348980185840308</c:v>
                </c:pt>
                <c:pt idx="12">
                  <c:v>0.78183148246818601</c:v>
                </c:pt>
                <c:pt idx="13">
                  <c:v>0.90096886790242536</c:v>
                </c:pt>
                <c:pt idx="14">
                  <c:v>0.97492791218177421</c:v>
                </c:pt>
                <c:pt idx="15">
                  <c:v>1</c:v>
                </c:pt>
                <c:pt idx="16">
                  <c:v>0.97492791218197816</c:v>
                </c:pt>
                <c:pt idx="17">
                  <c:v>0.90096886790282293</c:v>
                </c:pt>
                <c:pt idx="18">
                  <c:v>0.78183148246819034</c:v>
                </c:pt>
                <c:pt idx="19">
                  <c:v>0.62348980185911951</c:v>
                </c:pt>
                <c:pt idx="20">
                  <c:v>0.43388373911821587</c:v>
                </c:pt>
                <c:pt idx="21">
                  <c:v>0.22252093395636977</c:v>
                </c:pt>
                <c:pt idx="22">
                  <c:v>2.9305225780762445E-13</c:v>
                </c:pt>
                <c:pt idx="23">
                  <c:v>-0.22252093395668504</c:v>
                </c:pt>
                <c:pt idx="24">
                  <c:v>-0.43388373911768779</c:v>
                </c:pt>
                <c:pt idx="25">
                  <c:v>-0.62348980185866132</c:v>
                </c:pt>
                <c:pt idx="26">
                  <c:v>-0.78183148246839196</c:v>
                </c:pt>
                <c:pt idx="27">
                  <c:v>-0.90096886790217401</c:v>
                </c:pt>
                <c:pt idx="28">
                  <c:v>-0.97492791218164532</c:v>
                </c:pt>
                <c:pt idx="29">
                  <c:v>-1</c:v>
                </c:pt>
                <c:pt idx="30">
                  <c:v>-0.97492791218190467</c:v>
                </c:pt>
              </c:numCache>
            </c:numRef>
          </c:val>
          <c:smooth val="0"/>
          <c:extLst>
            <c:ext xmlns:c16="http://schemas.microsoft.com/office/drawing/2014/chart" uri="{C3380CC4-5D6E-409C-BE32-E72D297353CC}">
              <c16:uniqueId val="{00000001-2043-4DDD-BE86-FA0B4CD678E0}"/>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BIorritmo!$G$336:$G$366</c:f>
              <c:numCache>
                <c:formatCode>General</c:formatCode>
                <c:ptCount val="31"/>
                <c:pt idx="0">
                  <c:v>-0.45822652172674899</c:v>
                </c:pt>
                <c:pt idx="1">
                  <c:v>-0.61815898622051257</c:v>
                </c:pt>
                <c:pt idx="2">
                  <c:v>-0.7557495743539957</c:v>
                </c:pt>
                <c:pt idx="3">
                  <c:v>-0.86602540378409665</c:v>
                </c:pt>
                <c:pt idx="4">
                  <c:v>-0.94500081871464958</c:v>
                </c:pt>
                <c:pt idx="5">
                  <c:v>-0.98982144188088417</c:v>
                </c:pt>
                <c:pt idx="6">
                  <c:v>-0.99886733918299442</c:v>
                </c:pt>
                <c:pt idx="7">
                  <c:v>-0.9718115683235411</c:v>
                </c:pt>
                <c:pt idx="8">
                  <c:v>-0.90963199535463501</c:v>
                </c:pt>
                <c:pt idx="9">
                  <c:v>-0.81457595205013533</c:v>
                </c:pt>
                <c:pt idx="10">
                  <c:v>-0.69007901148206685</c:v>
                </c:pt>
                <c:pt idx="11">
                  <c:v>-0.5406408174557833</c:v>
                </c:pt>
                <c:pt idx="12">
                  <c:v>-0.37166245565995104</c:v>
                </c:pt>
                <c:pt idx="13">
                  <c:v>-0.18925124436029001</c:v>
                </c:pt>
                <c:pt idx="14">
                  <c:v>-1.6074207936922491E-13</c:v>
                </c:pt>
                <c:pt idx="15">
                  <c:v>0.1892512443608674</c:v>
                </c:pt>
                <c:pt idx="16">
                  <c:v>0.37166245566049688</c:v>
                </c:pt>
                <c:pt idx="17">
                  <c:v>0.54064081745474779</c:v>
                </c:pt>
                <c:pt idx="18">
                  <c:v>0.69007901148183415</c:v>
                </c:pt>
                <c:pt idx="19">
                  <c:v>0.81457595204994881</c:v>
                </c:pt>
                <c:pt idx="20">
                  <c:v>0.90963199535412365</c:v>
                </c:pt>
                <c:pt idx="21">
                  <c:v>0.97181156832346538</c:v>
                </c:pt>
                <c:pt idx="22">
                  <c:v>0.9988673391829791</c:v>
                </c:pt>
                <c:pt idx="23">
                  <c:v>0.98982144188093002</c:v>
                </c:pt>
                <c:pt idx="24">
                  <c:v>0.94500081871475472</c:v>
                </c:pt>
                <c:pt idx="25">
                  <c:v>0.86602540378471204</c:v>
                </c:pt>
                <c:pt idx="26">
                  <c:v>0.7557495743542062</c:v>
                </c:pt>
                <c:pt idx="27">
                  <c:v>0.61815898622076537</c:v>
                </c:pt>
                <c:pt idx="28">
                  <c:v>0.45822652172784312</c:v>
                </c:pt>
                <c:pt idx="29">
                  <c:v>0.28173255684129583</c:v>
                </c:pt>
                <c:pt idx="30">
                  <c:v>9.5056043304325655E-2</c:v>
                </c:pt>
              </c:numCache>
            </c:numRef>
          </c:val>
          <c:smooth val="0"/>
          <c:extLst>
            <c:ext xmlns:c16="http://schemas.microsoft.com/office/drawing/2014/chart" uri="{C3380CC4-5D6E-409C-BE32-E72D297353CC}">
              <c16:uniqueId val="{00000002-2043-4DDD-BE86-FA0B4CD678E0}"/>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FEBRERO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BIorritmo!$E$33:$E$60</c:f>
              <c:numCache>
                <c:formatCode>General</c:formatCode>
                <c:ptCount val="28"/>
                <c:pt idx="0">
                  <c:v>0.93087374864413985</c:v>
                </c:pt>
                <c:pt idx="1">
                  <c:v>0.99720379718114349</c:v>
                </c:pt>
                <c:pt idx="2">
                  <c:v>0.97492791218200303</c:v>
                </c:pt>
                <c:pt idx="3">
                  <c:v>0.86602540378454451</c:v>
                </c:pt>
                <c:pt idx="4">
                  <c:v>0.68017273777130549</c:v>
                </c:pt>
                <c:pt idx="5">
                  <c:v>0.43388373911831651</c:v>
                </c:pt>
                <c:pt idx="6">
                  <c:v>0.14904226617641897</c:v>
                </c:pt>
                <c:pt idx="7">
                  <c:v>-0.14904226617561844</c:v>
                </c:pt>
                <c:pt idx="8">
                  <c:v>-0.4338837391167677</c:v>
                </c:pt>
                <c:pt idx="9">
                  <c:v>-0.68017273777071208</c:v>
                </c:pt>
                <c:pt idx="10">
                  <c:v>-0.86602540378413972</c:v>
                </c:pt>
                <c:pt idx="11">
                  <c:v>-0.97492791218182284</c:v>
                </c:pt>
                <c:pt idx="12">
                  <c:v>-0.99720379718120389</c:v>
                </c:pt>
                <c:pt idx="13">
                  <c:v>-0.93087374864443562</c:v>
                </c:pt>
                <c:pt idx="14">
                  <c:v>-0.78183148246805412</c:v>
                </c:pt>
                <c:pt idx="15">
                  <c:v>-0.5633200580639145</c:v>
                </c:pt>
                <c:pt idx="16">
                  <c:v>-0.29475517441154347</c:v>
                </c:pt>
                <c:pt idx="17">
                  <c:v>-7.4503771207989899E-14</c:v>
                </c:pt>
                <c:pt idx="18">
                  <c:v>0.29475517441053201</c:v>
                </c:pt>
                <c:pt idx="19">
                  <c:v>0.56332005806303986</c:v>
                </c:pt>
                <c:pt idx="20">
                  <c:v>0.78183148246796119</c:v>
                </c:pt>
                <c:pt idx="21">
                  <c:v>0.93087374864404893</c:v>
                </c:pt>
                <c:pt idx="22">
                  <c:v>0.99720379718112484</c:v>
                </c:pt>
                <c:pt idx="23">
                  <c:v>0.97492791218185604</c:v>
                </c:pt>
                <c:pt idx="24">
                  <c:v>0.86602540378466897</c:v>
                </c:pt>
                <c:pt idx="25">
                  <c:v>0.68017273777148801</c:v>
                </c:pt>
                <c:pt idx="26">
                  <c:v>0.43388373911772138</c:v>
                </c:pt>
                <c:pt idx="27">
                  <c:v>0.14904226617666511</c:v>
                </c:pt>
              </c:numCache>
            </c:numRef>
          </c:val>
          <c:smooth val="0"/>
          <c:extLst>
            <c:ext xmlns:c16="http://schemas.microsoft.com/office/drawing/2014/chart" uri="{C3380CC4-5D6E-409C-BE32-E72D297353CC}">
              <c16:uniqueId val="{00000000-0D69-435F-ADEA-D3FE85C33BBE}"/>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BIorritmo!$F$2:$F$32</c:f>
              <c:numCache>
                <c:formatCode>General</c:formatCode>
                <c:ptCount val="31"/>
                <c:pt idx="0">
                  <c:v>-0.97492791218179164</c:v>
                </c:pt>
                <c:pt idx="1">
                  <c:v>-0.90096886790245934</c:v>
                </c:pt>
                <c:pt idx="2">
                  <c:v>-0.78183148246823497</c:v>
                </c:pt>
                <c:pt idx="3">
                  <c:v>-0.62348980185846448</c:v>
                </c:pt>
                <c:pt idx="4">
                  <c:v>-0.43388373911828032</c:v>
                </c:pt>
                <c:pt idx="5">
                  <c:v>-0.22252093395643952</c:v>
                </c:pt>
                <c:pt idx="6">
                  <c:v>-3.6459637392516342E-13</c:v>
                </c:pt>
                <c:pt idx="7">
                  <c:v>0.22252093395572861</c:v>
                </c:pt>
                <c:pt idx="8">
                  <c:v>0.43388373911762335</c:v>
                </c:pt>
                <c:pt idx="9">
                  <c:v>0.62348980185860536</c:v>
                </c:pt>
                <c:pt idx="10">
                  <c:v>0.78183148246778034</c:v>
                </c:pt>
                <c:pt idx="11">
                  <c:v>0.90096886790253761</c:v>
                </c:pt>
                <c:pt idx="12">
                  <c:v>0.97492791218183183</c:v>
                </c:pt>
                <c:pt idx="13">
                  <c:v>1</c:v>
                </c:pt>
                <c:pt idx="14">
                  <c:v>0.97492791218171815</c:v>
                </c:pt>
                <c:pt idx="15">
                  <c:v>0.90096886790271069</c:v>
                </c:pt>
                <c:pt idx="16">
                  <c:v>0.78183148246859613</c:v>
                </c:pt>
                <c:pt idx="17">
                  <c:v>0.62348980185891723</c:v>
                </c:pt>
                <c:pt idx="18">
                  <c:v>0.43388373911798273</c:v>
                </c:pt>
                <c:pt idx="19">
                  <c:v>0.2225209339570042</c:v>
                </c:pt>
                <c:pt idx="20">
                  <c:v>3.4316516642207695E-14</c:v>
                </c:pt>
                <c:pt idx="21">
                  <c:v>-0.2225209339560506</c:v>
                </c:pt>
                <c:pt idx="22">
                  <c:v>-0.43388373911792089</c:v>
                </c:pt>
                <c:pt idx="23">
                  <c:v>-0.6234898018588636</c:v>
                </c:pt>
                <c:pt idx="24">
                  <c:v>-0.78183148246798628</c:v>
                </c:pt>
                <c:pt idx="25">
                  <c:v>-0.90096886790268094</c:v>
                </c:pt>
                <c:pt idx="26">
                  <c:v>-0.97492791218170294</c:v>
                </c:pt>
                <c:pt idx="27">
                  <c:v>-1</c:v>
                </c:pt>
                <c:pt idx="28">
                  <c:v>-0.97492791218184705</c:v>
                </c:pt>
                <c:pt idx="29">
                  <c:v>-0.90096886790256736</c:v>
                </c:pt>
                <c:pt idx="30">
                  <c:v>-0.78183148246839018</c:v>
                </c:pt>
              </c:numCache>
            </c:numRef>
          </c:val>
          <c:smooth val="0"/>
          <c:extLst>
            <c:ext xmlns:c16="http://schemas.microsoft.com/office/drawing/2014/chart" uri="{C3380CC4-5D6E-409C-BE32-E72D297353CC}">
              <c16:uniqueId val="{00000001-0D69-435F-ADEA-D3FE85C33BBE}"/>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BIorritmo!$G$33:$G$60</c:f>
              <c:numCache>
                <c:formatCode>General</c:formatCode>
                <c:ptCount val="28"/>
                <c:pt idx="0">
                  <c:v>0.61815898622023835</c:v>
                </c:pt>
                <c:pt idx="1">
                  <c:v>0.45822652172724726</c:v>
                </c:pt>
                <c:pt idx="2">
                  <c:v>0.28173255684152526</c:v>
                </c:pt>
                <c:pt idx="3">
                  <c:v>9.50560433045637E-2</c:v>
                </c:pt>
                <c:pt idx="4">
                  <c:v>-9.5056043303519758E-2</c:v>
                </c:pt>
                <c:pt idx="5">
                  <c:v>-0.28173255684051907</c:v>
                </c:pt>
                <c:pt idx="6">
                  <c:v>-0.45822652172712353</c:v>
                </c:pt>
                <c:pt idx="7">
                  <c:v>-0.61815898622012899</c:v>
                </c:pt>
                <c:pt idx="8">
                  <c:v>-0.75574957435367607</c:v>
                </c:pt>
                <c:pt idx="9">
                  <c:v>-0.86602540378430737</c:v>
                </c:pt>
                <c:pt idx="10">
                  <c:v>-0.94500081871448993</c:v>
                </c:pt>
                <c:pt idx="11">
                  <c:v>-0.98982144188094423</c:v>
                </c:pt>
                <c:pt idx="12">
                  <c:v>-0.99886733918301762</c:v>
                </c:pt>
                <c:pt idx="13">
                  <c:v>-0.97181156832365623</c:v>
                </c:pt>
                <c:pt idx="14">
                  <c:v>-0.90963199535445993</c:v>
                </c:pt>
                <c:pt idx="15">
                  <c:v>-0.81457595205041844</c:v>
                </c:pt>
                <c:pt idx="16">
                  <c:v>-0.69007901148242012</c:v>
                </c:pt>
                <c:pt idx="17">
                  <c:v>-0.5406408174554288</c:v>
                </c:pt>
                <c:pt idx="18">
                  <c:v>-0.37166245566040412</c:v>
                </c:pt>
                <c:pt idx="19">
                  <c:v>-0.18925124436076926</c:v>
                </c:pt>
                <c:pt idx="20">
                  <c:v>2.6068340194806972E-13</c:v>
                </c:pt>
                <c:pt idx="21">
                  <c:v>0.18925124436038815</c:v>
                </c:pt>
                <c:pt idx="22">
                  <c:v>0.3716624556600438</c:v>
                </c:pt>
                <c:pt idx="23">
                  <c:v>0.54064081745586745</c:v>
                </c:pt>
                <c:pt idx="24">
                  <c:v>0.69007901148213924</c:v>
                </c:pt>
                <c:pt idx="25">
                  <c:v>0.81457595205019329</c:v>
                </c:pt>
                <c:pt idx="26">
                  <c:v>0.90963199535467654</c:v>
                </c:pt>
                <c:pt idx="27">
                  <c:v>0.97181156832335025</c:v>
                </c:pt>
              </c:numCache>
            </c:numRef>
          </c:val>
          <c:smooth val="0"/>
          <c:extLst>
            <c:ext xmlns:c16="http://schemas.microsoft.com/office/drawing/2014/chart" uri="{C3380CC4-5D6E-409C-BE32-E72D297353CC}">
              <c16:uniqueId val="{00000002-0D69-435F-ADEA-D3FE85C33BBE}"/>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MARZO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BIorritmo!$E$61:$E$91</c:f>
              <c:numCache>
                <c:formatCode>General</c:formatCode>
                <c:ptCount val="31"/>
                <c:pt idx="0">
                  <c:v>-0.14904226617627161</c:v>
                </c:pt>
                <c:pt idx="1">
                  <c:v>-0.43388373911736283</c:v>
                </c:pt>
                <c:pt idx="2">
                  <c:v>-0.68017273777052956</c:v>
                </c:pt>
                <c:pt idx="3">
                  <c:v>-0.86602540378447002</c:v>
                </c:pt>
                <c:pt idx="4">
                  <c:v>-0.97492791218176744</c:v>
                </c:pt>
                <c:pt idx="5">
                  <c:v>-0.99720379718122254</c:v>
                </c:pt>
                <c:pt idx="6">
                  <c:v>-0.93087374864419437</c:v>
                </c:pt>
                <c:pt idx="7">
                  <c:v>-0.78183148246820933</c:v>
                </c:pt>
                <c:pt idx="8">
                  <c:v>-0.56332005806412011</c:v>
                </c:pt>
                <c:pt idx="9">
                  <c:v>-0.29475517441091226</c:v>
                </c:pt>
                <c:pt idx="10">
                  <c:v>-3.2343875841500669E-13</c:v>
                </c:pt>
                <c:pt idx="11">
                  <c:v>0.29475517441029414</c:v>
                </c:pt>
                <c:pt idx="12">
                  <c:v>0.56332005806358565</c:v>
                </c:pt>
                <c:pt idx="13">
                  <c:v>0.78183148246780598</c:v>
                </c:pt>
                <c:pt idx="14">
                  <c:v>0.930873748643958</c:v>
                </c:pt>
                <c:pt idx="15">
                  <c:v>0.99720379718117425</c:v>
                </c:pt>
                <c:pt idx="16">
                  <c:v>0.97492791218191144</c:v>
                </c:pt>
                <c:pt idx="17">
                  <c:v>0.86602540378433868</c:v>
                </c:pt>
                <c:pt idx="18">
                  <c:v>0.68017273777100373</c:v>
                </c:pt>
                <c:pt idx="19">
                  <c:v>0.43388373911794564</c:v>
                </c:pt>
                <c:pt idx="20">
                  <c:v>0.14904226617601193</c:v>
                </c:pt>
                <c:pt idx="21">
                  <c:v>-0.14904226617602545</c:v>
                </c:pt>
                <c:pt idx="22">
                  <c:v>-0.43388373911713857</c:v>
                </c:pt>
                <c:pt idx="23">
                  <c:v>-0.68017273777101384</c:v>
                </c:pt>
                <c:pt idx="24">
                  <c:v>-0.86602540378434556</c:v>
                </c:pt>
                <c:pt idx="25">
                  <c:v>-0.97492791218171204</c:v>
                </c:pt>
                <c:pt idx="26">
                  <c:v>-0.99720379718117313</c:v>
                </c:pt>
                <c:pt idx="27">
                  <c:v>-0.93087374864428529</c:v>
                </c:pt>
                <c:pt idx="28">
                  <c:v>-0.78183148246836454</c:v>
                </c:pt>
                <c:pt idx="29">
                  <c:v>-0.56332005806357444</c:v>
                </c:pt>
                <c:pt idx="30">
                  <c:v>-0.29475517441115012</c:v>
                </c:pt>
              </c:numCache>
            </c:numRef>
          </c:val>
          <c:smooth val="0"/>
          <c:extLst>
            <c:ext xmlns:c16="http://schemas.microsoft.com/office/drawing/2014/chart" uri="{C3380CC4-5D6E-409C-BE32-E72D297353CC}">
              <c16:uniqueId val="{00000000-B649-4CC0-ADF5-4BBDFE372D07}"/>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BIorritmo!$F$61:$F$91</c:f>
              <c:numCache>
                <c:formatCode>General</c:formatCode>
                <c:ptCount val="31"/>
                <c:pt idx="0">
                  <c:v>-0.62348980185885372</c:v>
                </c:pt>
                <c:pt idx="1">
                  <c:v>-0.43388373911790945</c:v>
                </c:pt>
                <c:pt idx="2">
                  <c:v>-0.2225209339569249</c:v>
                </c:pt>
                <c:pt idx="3">
                  <c:v>4.702835343373124E-14</c:v>
                </c:pt>
                <c:pt idx="4">
                  <c:v>0.2225209339561299</c:v>
                </c:pt>
                <c:pt idx="5">
                  <c:v>0.43388373911717476</c:v>
                </c:pt>
                <c:pt idx="6">
                  <c:v>0.62348980185892722</c:v>
                </c:pt>
                <c:pt idx="7">
                  <c:v>0.78183148246803691</c:v>
                </c:pt>
                <c:pt idx="8">
                  <c:v>0.90096886790232156</c:v>
                </c:pt>
                <c:pt idx="9">
                  <c:v>0.97492791218192343</c:v>
                </c:pt>
                <c:pt idx="10">
                  <c:v>1</c:v>
                </c:pt>
                <c:pt idx="11">
                  <c:v>0.97492791218203134</c:v>
                </c:pt>
                <c:pt idx="12">
                  <c:v>0.90096886790253206</c:v>
                </c:pt>
                <c:pt idx="13">
                  <c:v>0.78183148246833944</c:v>
                </c:pt>
                <c:pt idx="14">
                  <c:v>0.62348980185930658</c:v>
                </c:pt>
                <c:pt idx="15">
                  <c:v>0.43388373911761186</c:v>
                </c:pt>
                <c:pt idx="16">
                  <c:v>0.22252093395660291</c:v>
                </c:pt>
                <c:pt idx="17">
                  <c:v>-3.7730821071668696E-13</c:v>
                </c:pt>
                <c:pt idx="18">
                  <c:v>-0.22252093395645192</c:v>
                </c:pt>
                <c:pt idx="19">
                  <c:v>-0.43388373911747236</c:v>
                </c:pt>
                <c:pt idx="20">
                  <c:v>-0.62348980185918546</c:v>
                </c:pt>
                <c:pt idx="21">
                  <c:v>-0.78183148246767586</c:v>
                </c:pt>
                <c:pt idx="22">
                  <c:v>-0.90096886790207031</c:v>
                </c:pt>
                <c:pt idx="23">
                  <c:v>-0.97492791218179453</c:v>
                </c:pt>
                <c:pt idx="24">
                  <c:v>-1</c:v>
                </c:pt>
                <c:pt idx="25">
                  <c:v>-0.97492791218195785</c:v>
                </c:pt>
                <c:pt idx="26">
                  <c:v>-0.90096886790238884</c:v>
                </c:pt>
                <c:pt idx="27">
                  <c:v>-0.7818314824681335</c:v>
                </c:pt>
                <c:pt idx="28">
                  <c:v>-0.62348980185904834</c:v>
                </c:pt>
                <c:pt idx="29">
                  <c:v>-0.43388373911731432</c:v>
                </c:pt>
                <c:pt idx="30">
                  <c:v>-0.22252093395628092</c:v>
                </c:pt>
              </c:numCache>
            </c:numRef>
          </c:val>
          <c:smooth val="0"/>
          <c:extLst>
            <c:ext xmlns:c16="http://schemas.microsoft.com/office/drawing/2014/chart" uri="{C3380CC4-5D6E-409C-BE32-E72D297353CC}">
              <c16:uniqueId val="{00000001-B649-4CC0-ADF5-4BBDFE372D07}"/>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BIorritmo!$G$61:$G$91</c:f>
              <c:numCache>
                <c:formatCode>General</c:formatCode>
                <c:ptCount val="31"/>
                <c:pt idx="0">
                  <c:v>0.99886733918299919</c:v>
                </c:pt>
                <c:pt idx="1">
                  <c:v>0.98982144188099941</c:v>
                </c:pt>
                <c:pt idx="2">
                  <c:v>0.94500081871491437</c:v>
                </c:pt>
                <c:pt idx="3">
                  <c:v>0.86602540378450132</c:v>
                </c:pt>
                <c:pt idx="4">
                  <c:v>0.75574957435452583</c:v>
                </c:pt>
                <c:pt idx="5">
                  <c:v>0.61815898622114895</c:v>
                </c:pt>
                <c:pt idx="6">
                  <c:v>0.45822652172746853</c:v>
                </c:pt>
                <c:pt idx="7">
                  <c:v>0.28173255684176413</c:v>
                </c:pt>
                <c:pt idx="8">
                  <c:v>9.5056043304811502E-2</c:v>
                </c:pt>
                <c:pt idx="9">
                  <c:v>-9.5056043304177329E-2</c:v>
                </c:pt>
                <c:pt idx="10">
                  <c:v>-0.28173255684115289</c:v>
                </c:pt>
                <c:pt idx="11">
                  <c:v>-0.45822652172690231</c:v>
                </c:pt>
                <c:pt idx="12">
                  <c:v>-0.61815898622064824</c:v>
                </c:pt>
                <c:pt idx="13">
                  <c:v>-0.75574957435410872</c:v>
                </c:pt>
                <c:pt idx="14">
                  <c:v>-0.8660254037841828</c:v>
                </c:pt>
                <c:pt idx="15">
                  <c:v>-0.94500081871470598</c:v>
                </c:pt>
                <c:pt idx="16">
                  <c:v>-0.98982144188090881</c:v>
                </c:pt>
                <c:pt idx="17">
                  <c:v>-0.9988673391829862</c:v>
                </c:pt>
                <c:pt idx="18">
                  <c:v>-0.97181156832350046</c:v>
                </c:pt>
                <c:pt idx="19">
                  <c:v>-0.90963199535456341</c:v>
                </c:pt>
                <c:pt idx="20">
                  <c:v>-0.81457595205003519</c:v>
                </c:pt>
                <c:pt idx="21">
                  <c:v>-0.69007901148194206</c:v>
                </c:pt>
                <c:pt idx="22">
                  <c:v>-0.54064081745563819</c:v>
                </c:pt>
                <c:pt idx="23">
                  <c:v>-0.37166245566063522</c:v>
                </c:pt>
                <c:pt idx="24">
                  <c:v>-0.1892512443610137</c:v>
                </c:pt>
                <c:pt idx="25">
                  <c:v>-8.9774628703187531E-13</c:v>
                </c:pt>
                <c:pt idx="26">
                  <c:v>0.18925124436014371</c:v>
                </c:pt>
                <c:pt idx="27">
                  <c:v>0.37166245565981271</c:v>
                </c:pt>
                <c:pt idx="28">
                  <c:v>0.5406408174548929</c:v>
                </c:pt>
                <c:pt idx="29">
                  <c:v>0.69007901148195905</c:v>
                </c:pt>
                <c:pt idx="30">
                  <c:v>0.81457595205004885</c:v>
                </c:pt>
              </c:numCache>
            </c:numRef>
          </c:val>
          <c:smooth val="0"/>
          <c:extLst>
            <c:ext xmlns:c16="http://schemas.microsoft.com/office/drawing/2014/chart" uri="{C3380CC4-5D6E-409C-BE32-E72D297353CC}">
              <c16:uniqueId val="{00000002-B649-4CC0-ADF5-4BBDFE372D07}"/>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1.3149999999999999"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ABRIL</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BIorritmo!$E$92:$E$120</c:f>
              <c:numCache>
                <c:formatCode>General</c:formatCode>
                <c:ptCount val="29"/>
                <c:pt idx="0">
                  <c:v>-5.7237374562202348E-13</c:v>
                </c:pt>
                <c:pt idx="1">
                  <c:v>0.29475517441092536</c:v>
                </c:pt>
                <c:pt idx="2">
                  <c:v>0.56332005806338004</c:v>
                </c:pt>
                <c:pt idx="3">
                  <c:v>0.78183148246821788</c:v>
                </c:pt>
                <c:pt idx="4">
                  <c:v>0.93087374864419936</c:v>
                </c:pt>
                <c:pt idx="5">
                  <c:v>0.99720379718115559</c:v>
                </c:pt>
                <c:pt idx="6">
                  <c:v>0.97492791218176444</c:v>
                </c:pt>
                <c:pt idx="7">
                  <c:v>0.86602540378446313</c:v>
                </c:pt>
                <c:pt idx="8">
                  <c:v>0.68017273777118625</c:v>
                </c:pt>
                <c:pt idx="9">
                  <c:v>0.43388373911735051</c:v>
                </c:pt>
                <c:pt idx="10">
                  <c:v>0.1490422661762581</c:v>
                </c:pt>
                <c:pt idx="11">
                  <c:v>-0.14904226617577931</c:v>
                </c:pt>
                <c:pt idx="12">
                  <c:v>-0.4338837391177337</c:v>
                </c:pt>
                <c:pt idx="13">
                  <c:v>-0.68017273777083131</c:v>
                </c:pt>
                <c:pt idx="14">
                  <c:v>-0.8660254037842211</c:v>
                </c:pt>
                <c:pt idx="15">
                  <c:v>-0.97492791218185904</c:v>
                </c:pt>
                <c:pt idx="16">
                  <c:v>-0.99720379718119179</c:v>
                </c:pt>
                <c:pt idx="17">
                  <c:v>-0.93087374864470851</c:v>
                </c:pt>
                <c:pt idx="18">
                  <c:v>-0.78183148246795264</c:v>
                </c:pt>
                <c:pt idx="19">
                  <c:v>-0.56332005806378005</c:v>
                </c:pt>
                <c:pt idx="20">
                  <c:v>-0.29475517441051891</c:v>
                </c:pt>
                <c:pt idx="21">
                  <c:v>8.8185968943887971E-14</c:v>
                </c:pt>
                <c:pt idx="22">
                  <c:v>0.29475517441068744</c:v>
                </c:pt>
                <c:pt idx="23">
                  <c:v>0.56332005806392582</c:v>
                </c:pt>
                <c:pt idx="24">
                  <c:v>0.78183148246806267</c:v>
                </c:pt>
                <c:pt idx="25">
                  <c:v>0.93087374864410843</c:v>
                </c:pt>
                <c:pt idx="26">
                  <c:v>0.997203797181205</c:v>
                </c:pt>
                <c:pt idx="27">
                  <c:v>0.97492791218181984</c:v>
                </c:pt>
                <c:pt idx="28">
                  <c:v>0.86602540378504234</c:v>
                </c:pt>
              </c:numCache>
            </c:numRef>
          </c:val>
          <c:smooth val="0"/>
          <c:extLst>
            <c:ext xmlns:c16="http://schemas.microsoft.com/office/drawing/2014/chart" uri="{C3380CC4-5D6E-409C-BE32-E72D297353CC}">
              <c16:uniqueId val="{00000000-D116-4867-BA9E-D490365B3EE1}"/>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BIorritmo!$F$92:$F$121</c:f>
              <c:numCache>
                <c:formatCode>General</c:formatCode>
                <c:ptCount val="30"/>
                <c:pt idx="0">
                  <c:v>-1.1114013355462138E-12</c:v>
                </c:pt>
                <c:pt idx="1">
                  <c:v>0.22252093395588721</c:v>
                </c:pt>
                <c:pt idx="2">
                  <c:v>0.4338837391169505</c:v>
                </c:pt>
                <c:pt idx="3">
                  <c:v>0.6234898018587326</c:v>
                </c:pt>
                <c:pt idx="4">
                  <c:v>0.7818314824678817</c:v>
                </c:pt>
                <c:pt idx="5">
                  <c:v>0.90096886790221353</c:v>
                </c:pt>
                <c:pt idx="6">
                  <c:v>0.97492791218186803</c:v>
                </c:pt>
                <c:pt idx="7">
                  <c:v>1</c:v>
                </c:pt>
                <c:pt idx="8">
                  <c:v>0.97492791218188435</c:v>
                </c:pt>
                <c:pt idx="9">
                  <c:v>0.90096886790224551</c:v>
                </c:pt>
                <c:pt idx="10">
                  <c:v>0.78183148246792755</c:v>
                </c:pt>
                <c:pt idx="11">
                  <c:v>0.6234898018595012</c:v>
                </c:pt>
                <c:pt idx="12">
                  <c:v>0.43388373911783618</c:v>
                </c:pt>
                <c:pt idx="13">
                  <c:v>0.22252093395684561</c:v>
                </c:pt>
                <c:pt idx="14">
                  <c:v>7.8112147826325806E-13</c:v>
                </c:pt>
                <c:pt idx="15">
                  <c:v>-0.22252093395620923</c:v>
                </c:pt>
                <c:pt idx="16">
                  <c:v>-0.43388373911724804</c:v>
                </c:pt>
                <c:pt idx="17">
                  <c:v>-0.62348980185827974</c:v>
                </c:pt>
                <c:pt idx="18">
                  <c:v>-0.78183148246808765</c:v>
                </c:pt>
                <c:pt idx="19">
                  <c:v>-0.90096886790235686</c:v>
                </c:pt>
                <c:pt idx="20">
                  <c:v>-0.97492791218194153</c:v>
                </c:pt>
                <c:pt idx="21">
                  <c:v>-1</c:v>
                </c:pt>
                <c:pt idx="22">
                  <c:v>-0.97492791218201325</c:v>
                </c:pt>
                <c:pt idx="23">
                  <c:v>-0.90096886790249675</c:v>
                </c:pt>
                <c:pt idx="24">
                  <c:v>-0.78183148246828871</c:v>
                </c:pt>
                <c:pt idx="25">
                  <c:v>-0.62348980185924296</c:v>
                </c:pt>
                <c:pt idx="26">
                  <c:v>-0.43388373911753858</c:v>
                </c:pt>
                <c:pt idx="27">
                  <c:v>-0.22252093395652361</c:v>
                </c:pt>
                <c:pt idx="28">
                  <c:v>-4.5084162098030234E-13</c:v>
                </c:pt>
                <c:pt idx="29">
                  <c:v>0.22252093395653122</c:v>
                </c:pt>
              </c:numCache>
            </c:numRef>
          </c:val>
          <c:smooth val="0"/>
          <c:extLst>
            <c:ext xmlns:c16="http://schemas.microsoft.com/office/drawing/2014/chart" uri="{C3380CC4-5D6E-409C-BE32-E72D297353CC}">
              <c16:uniqueId val="{00000001-D116-4867-BA9E-D490365B3EE1}"/>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BIorritmo!$G$92:$G$121</c:f>
              <c:numCache>
                <c:formatCode>General</c:formatCode>
                <c:ptCount val="30"/>
                <c:pt idx="0">
                  <c:v>0.90963199535419537</c:v>
                </c:pt>
                <c:pt idx="1">
                  <c:v>0.97181156832350601</c:v>
                </c:pt>
                <c:pt idx="2">
                  <c:v>0.99886733918298731</c:v>
                </c:pt>
                <c:pt idx="3">
                  <c:v>0.98982144188090537</c:v>
                </c:pt>
                <c:pt idx="4">
                  <c:v>0.94500081871469832</c:v>
                </c:pt>
                <c:pt idx="5">
                  <c:v>0.86602540378462589</c:v>
                </c:pt>
                <c:pt idx="6">
                  <c:v>0.75574957435409329</c:v>
                </c:pt>
                <c:pt idx="7">
                  <c:v>0.6181589862206297</c:v>
                </c:pt>
                <c:pt idx="8">
                  <c:v>0.4582265217276898</c:v>
                </c:pt>
                <c:pt idx="9">
                  <c:v>0.28173255684113035</c:v>
                </c:pt>
                <c:pt idx="10">
                  <c:v>9.5056043304153945E-2</c:v>
                </c:pt>
                <c:pt idx="11">
                  <c:v>-9.5056043303929527E-2</c:v>
                </c:pt>
                <c:pt idx="12">
                  <c:v>-0.28173255684178666</c:v>
                </c:pt>
                <c:pt idx="13">
                  <c:v>-0.4582265217274894</c:v>
                </c:pt>
                <c:pt idx="14">
                  <c:v>-0.61815898622045251</c:v>
                </c:pt>
                <c:pt idx="15">
                  <c:v>-0.75574957435454126</c:v>
                </c:pt>
                <c:pt idx="16">
                  <c:v>-0.86602540378451309</c:v>
                </c:pt>
                <c:pt idx="17">
                  <c:v>-0.94500081871432717</c:v>
                </c:pt>
                <c:pt idx="18">
                  <c:v>-0.98982144188087329</c:v>
                </c:pt>
                <c:pt idx="19">
                  <c:v>-0.99886733918304127</c:v>
                </c:pt>
                <c:pt idx="20">
                  <c:v>-0.97181156832355919</c:v>
                </c:pt>
                <c:pt idx="21">
                  <c:v>-0.90963199535466677</c:v>
                </c:pt>
                <c:pt idx="22">
                  <c:v>-0.81457595205070721</c:v>
                </c:pt>
                <c:pt idx="23">
                  <c:v>-0.69007901148212214</c:v>
                </c:pt>
                <c:pt idx="24">
                  <c:v>-0.54064081745584769</c:v>
                </c:pt>
                <c:pt idx="25">
                  <c:v>-0.37166245566086631</c:v>
                </c:pt>
                <c:pt idx="26">
                  <c:v>-0.18925124436036508</c:v>
                </c:pt>
                <c:pt idx="27">
                  <c:v>-2.3718657246596386E-13</c:v>
                </c:pt>
                <c:pt idx="28">
                  <c:v>0.18925124435989926</c:v>
                </c:pt>
                <c:pt idx="29">
                  <c:v>0.37166245566042594</c:v>
                </c:pt>
              </c:numCache>
            </c:numRef>
          </c:val>
          <c:smooth val="0"/>
          <c:extLst>
            <c:ext xmlns:c16="http://schemas.microsoft.com/office/drawing/2014/chart" uri="{C3380CC4-5D6E-409C-BE32-E72D297353CC}">
              <c16:uniqueId val="{00000002-D116-4867-BA9E-D490365B3EE1}"/>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MAYO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BIorritmo!$E$122:$E$152</c:f>
              <c:numCache>
                <c:formatCode>General</c:formatCode>
                <c:ptCount val="31"/>
                <c:pt idx="0">
                  <c:v>0.43388373911757477</c:v>
                </c:pt>
                <c:pt idx="1">
                  <c:v>0.14904226617740357</c:v>
                </c:pt>
                <c:pt idx="2">
                  <c:v>-0.14904226617643249</c:v>
                </c:pt>
                <c:pt idx="3">
                  <c:v>-0.43388373911750944</c:v>
                </c:pt>
                <c:pt idx="4">
                  <c:v>-0.68017273776998211</c:v>
                </c:pt>
                <c:pt idx="5">
                  <c:v>-0.8660254037845514</c:v>
                </c:pt>
                <c:pt idx="6">
                  <c:v>-0.97492791218180364</c:v>
                </c:pt>
                <c:pt idx="7">
                  <c:v>-0.99720379718114238</c:v>
                </c:pt>
                <c:pt idx="8">
                  <c:v>-0.93087374864413486</c:v>
                </c:pt>
                <c:pt idx="9">
                  <c:v>-0.78183148246867495</c:v>
                </c:pt>
                <c:pt idx="10">
                  <c:v>-0.56332005806323426</c:v>
                </c:pt>
                <c:pt idx="11">
                  <c:v>-0.29475517441075683</c:v>
                </c:pt>
                <c:pt idx="12">
                  <c:v>-1.0702437200360571E-12</c:v>
                </c:pt>
                <c:pt idx="13">
                  <c:v>0.29475517441131865</c:v>
                </c:pt>
                <c:pt idx="14">
                  <c:v>0.5633200580637201</c:v>
                </c:pt>
                <c:pt idx="15">
                  <c:v>0.78183148246734036</c:v>
                </c:pt>
                <c:pt idx="16">
                  <c:v>0.93087374864434969</c:v>
                </c:pt>
                <c:pt idx="17">
                  <c:v>0.99720379718118635</c:v>
                </c:pt>
                <c:pt idx="18">
                  <c:v>0.97492791218207764</c:v>
                </c:pt>
                <c:pt idx="19">
                  <c:v>0.8660254037842573</c:v>
                </c:pt>
                <c:pt idx="20">
                  <c:v>0.68017273777155118</c:v>
                </c:pt>
                <c:pt idx="21">
                  <c:v>0.43388373911861849</c:v>
                </c:pt>
                <c:pt idx="22">
                  <c:v>0.14904226617585106</c:v>
                </c:pt>
                <c:pt idx="23">
                  <c:v>-0.14904226617528699</c:v>
                </c:pt>
                <c:pt idx="24">
                  <c:v>-0.43388373911646572</c:v>
                </c:pt>
                <c:pt idx="25">
                  <c:v>-0.68017273777113307</c:v>
                </c:pt>
                <c:pt idx="26">
                  <c:v>-0.86602540378397208</c:v>
                </c:pt>
                <c:pt idx="27">
                  <c:v>-0.97492791218195063</c:v>
                </c:pt>
                <c:pt idx="28">
                  <c:v>-0.99720379718116103</c:v>
                </c:pt>
                <c:pt idx="29">
                  <c:v>-0.93087374864455807</c:v>
                </c:pt>
                <c:pt idx="30">
                  <c:v>-0.78183148246769596</c:v>
                </c:pt>
              </c:numCache>
            </c:numRef>
          </c:val>
          <c:smooth val="0"/>
          <c:extLst>
            <c:ext xmlns:c16="http://schemas.microsoft.com/office/drawing/2014/chart" uri="{C3380CC4-5D6E-409C-BE32-E72D297353CC}">
              <c16:uniqueId val="{00000000-A963-4170-9366-C31E0E7574E9}"/>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BIorritmo!$F$122:$F$152</c:f>
              <c:numCache>
                <c:formatCode>General</c:formatCode>
                <c:ptCount val="31"/>
                <c:pt idx="0">
                  <c:v>0.43388373911754563</c:v>
                </c:pt>
                <c:pt idx="1">
                  <c:v>0.62348980185853797</c:v>
                </c:pt>
                <c:pt idx="2">
                  <c:v>0.78183148246829359</c:v>
                </c:pt>
                <c:pt idx="3">
                  <c:v>0.90096886790210562</c:v>
                </c:pt>
                <c:pt idx="4">
                  <c:v>0.97492791218161023</c:v>
                </c:pt>
                <c:pt idx="5">
                  <c:v>1</c:v>
                </c:pt>
                <c:pt idx="6">
                  <c:v>0.97492791218193975</c:v>
                </c:pt>
                <c:pt idx="7">
                  <c:v>0.90096886790235353</c:v>
                </c:pt>
                <c:pt idx="8">
                  <c:v>0.78183148246808276</c:v>
                </c:pt>
                <c:pt idx="9">
                  <c:v>0.62348980185898473</c:v>
                </c:pt>
                <c:pt idx="10">
                  <c:v>0.43388373911724099</c:v>
                </c:pt>
                <c:pt idx="11">
                  <c:v>0.22252093395620159</c:v>
                </c:pt>
                <c:pt idx="12">
                  <c:v>1.2056176369734661E-13</c:v>
                </c:pt>
                <c:pt idx="13">
                  <c:v>-0.22252093395685321</c:v>
                </c:pt>
                <c:pt idx="14">
                  <c:v>-0.43388373911702377</c:v>
                </c:pt>
                <c:pt idx="15">
                  <c:v>-0.62348980185808511</c:v>
                </c:pt>
                <c:pt idx="16">
                  <c:v>-0.78183148246793244</c:v>
                </c:pt>
                <c:pt idx="17">
                  <c:v>-0.90096886790224884</c:v>
                </c:pt>
                <c:pt idx="18">
                  <c:v>-0.97492791218168373</c:v>
                </c:pt>
                <c:pt idx="19">
                  <c:v>-1</c:v>
                </c:pt>
                <c:pt idx="20">
                  <c:v>-0.97492791218186625</c:v>
                </c:pt>
                <c:pt idx="21">
                  <c:v>-0.90096886790260478</c:v>
                </c:pt>
                <c:pt idx="22">
                  <c:v>-0.78183148246787693</c:v>
                </c:pt>
                <c:pt idx="23">
                  <c:v>-0.62348980185872649</c:v>
                </c:pt>
                <c:pt idx="24">
                  <c:v>-0.4338837391185823</c:v>
                </c:pt>
                <c:pt idx="25">
                  <c:v>-0.22252093395676631</c:v>
                </c:pt>
                <c:pt idx="26">
                  <c:v>-6.9977660818731913E-13</c:v>
                </c:pt>
                <c:pt idx="27">
                  <c:v>0.22252093395628852</c:v>
                </c:pt>
                <c:pt idx="28">
                  <c:v>0.43388373911732131</c:v>
                </c:pt>
                <c:pt idx="29">
                  <c:v>0.62348980185834335</c:v>
                </c:pt>
                <c:pt idx="30">
                  <c:v>0.78183148246813838</c:v>
                </c:pt>
              </c:numCache>
            </c:numRef>
          </c:val>
          <c:smooth val="0"/>
          <c:extLst>
            <c:ext xmlns:c16="http://schemas.microsoft.com/office/drawing/2014/chart" uri="{C3380CC4-5D6E-409C-BE32-E72D297353CC}">
              <c16:uniqueId val="{00000001-A963-4170-9366-C31E0E7574E9}"/>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BIorritmo!$G$122:$G$152</c:f>
              <c:numCache>
                <c:formatCode>General</c:formatCode>
                <c:ptCount val="31"/>
                <c:pt idx="0">
                  <c:v>0.54064081745544856</c:v>
                </c:pt>
                <c:pt idx="1">
                  <c:v>0.69007901148177886</c:v>
                </c:pt>
                <c:pt idx="2">
                  <c:v>0.81457595205043198</c:v>
                </c:pt>
                <c:pt idx="3">
                  <c:v>0.9096319953544697</c:v>
                </c:pt>
                <c:pt idx="4">
                  <c:v>0.97181156832344728</c:v>
                </c:pt>
                <c:pt idx="5">
                  <c:v>0.99886733918301873</c:v>
                </c:pt>
                <c:pt idx="6">
                  <c:v>0.9898214418809409</c:v>
                </c:pt>
                <c:pt idx="7">
                  <c:v>0.94500081871448227</c:v>
                </c:pt>
                <c:pt idx="8">
                  <c:v>0.8660254037842956</c:v>
                </c:pt>
                <c:pt idx="9">
                  <c:v>0.75574957435425627</c:v>
                </c:pt>
                <c:pt idx="10">
                  <c:v>0.61815898622011045</c:v>
                </c:pt>
                <c:pt idx="11">
                  <c:v>0.45822652172791106</c:v>
                </c:pt>
                <c:pt idx="12">
                  <c:v>0.28173255684224185</c:v>
                </c:pt>
                <c:pt idx="13">
                  <c:v>9.5056043304401747E-2</c:v>
                </c:pt>
                <c:pt idx="14">
                  <c:v>-9.5056043303681712E-2</c:v>
                </c:pt>
                <c:pt idx="15">
                  <c:v>-0.28173255684067516</c:v>
                </c:pt>
                <c:pt idx="16">
                  <c:v>-0.45822652172726813</c:v>
                </c:pt>
                <c:pt idx="17">
                  <c:v>-0.61815898622025689</c:v>
                </c:pt>
                <c:pt idx="18">
                  <c:v>-0.75574957435378265</c:v>
                </c:pt>
                <c:pt idx="19">
                  <c:v>-0.86602540378438864</c:v>
                </c:pt>
                <c:pt idx="20">
                  <c:v>-0.94500081871454322</c:v>
                </c:pt>
                <c:pt idx="21">
                  <c:v>-0.98982144188083787</c:v>
                </c:pt>
                <c:pt idx="22">
                  <c:v>-0.99886733918300985</c:v>
                </c:pt>
                <c:pt idx="23">
                  <c:v>-0.97181156832361781</c:v>
                </c:pt>
                <c:pt idx="24">
                  <c:v>-0.90963199535477024</c:v>
                </c:pt>
                <c:pt idx="25">
                  <c:v>-0.81457595205032407</c:v>
                </c:pt>
                <c:pt idx="26">
                  <c:v>-0.69007901148230233</c:v>
                </c:pt>
                <c:pt idx="27">
                  <c:v>-0.54064081745529191</c:v>
                </c:pt>
                <c:pt idx="28">
                  <c:v>-0.37166245566025308</c:v>
                </c:pt>
                <c:pt idx="29">
                  <c:v>-0.1892512443606095</c:v>
                </c:pt>
                <c:pt idx="30">
                  <c:v>4.2337314209994759E-13</c:v>
                </c:pt>
              </c:numCache>
            </c:numRef>
          </c:val>
          <c:smooth val="0"/>
          <c:extLst>
            <c:ext xmlns:c16="http://schemas.microsoft.com/office/drawing/2014/chart" uri="{C3380CC4-5D6E-409C-BE32-E72D297353CC}">
              <c16:uniqueId val="{00000002-A963-4170-9366-C31E0E7574E9}"/>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JUNIO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BIorritmo!$E$153:$E$182</c:f>
              <c:numCache>
                <c:formatCode>General</c:formatCode>
                <c:ptCount val="30"/>
                <c:pt idx="0">
                  <c:v>-0.56332005806419139</c:v>
                </c:pt>
                <c:pt idx="1">
                  <c:v>-0.29475517441186377</c:v>
                </c:pt>
                <c:pt idx="2">
                  <c:v>4.9981069630278263E-13</c:v>
                </c:pt>
                <c:pt idx="3">
                  <c:v>0.29475517441021171</c:v>
                </c:pt>
                <c:pt idx="4">
                  <c:v>0.56332005806276297</c:v>
                </c:pt>
                <c:pt idx="5">
                  <c:v>0.78183148246831924</c:v>
                </c:pt>
                <c:pt idx="6">
                  <c:v>0.93087374864392647</c:v>
                </c:pt>
                <c:pt idx="7">
                  <c:v>0.99720379718109975</c:v>
                </c:pt>
                <c:pt idx="8">
                  <c:v>0.97492791218172825</c:v>
                </c:pt>
                <c:pt idx="9">
                  <c:v>0.86602540378483661</c:v>
                </c:pt>
                <c:pt idx="10">
                  <c:v>0.6801727377717337</c:v>
                </c:pt>
                <c:pt idx="11">
                  <c:v>0.43388373911802336</c:v>
                </c:pt>
                <c:pt idx="12">
                  <c:v>0.14904226617699656</c:v>
                </c:pt>
                <c:pt idx="13">
                  <c:v>-0.14904226617683952</c:v>
                </c:pt>
                <c:pt idx="14">
                  <c:v>-0.43388373911706085</c:v>
                </c:pt>
                <c:pt idx="15">
                  <c:v>-0.68017273777028386</c:v>
                </c:pt>
                <c:pt idx="16">
                  <c:v>-0.86602540378475712</c:v>
                </c:pt>
                <c:pt idx="17">
                  <c:v>-0.97492791218169284</c:v>
                </c:pt>
                <c:pt idx="18">
                  <c:v>-0.99720379718124763</c:v>
                </c:pt>
                <c:pt idx="19">
                  <c:v>-0.93087374864398453</c:v>
                </c:pt>
                <c:pt idx="20">
                  <c:v>-0.78183148246841827</c:v>
                </c:pt>
                <c:pt idx="21">
                  <c:v>-0.56332005806439711</c:v>
                </c:pt>
                <c:pt idx="22">
                  <c:v>-0.29475517441123256</c:v>
                </c:pt>
                <c:pt idx="23">
                  <c:v>-6.586189926771624E-13</c:v>
                </c:pt>
                <c:pt idx="24">
                  <c:v>0.29475517440997384</c:v>
                </c:pt>
                <c:pt idx="25">
                  <c:v>0.56332005806330876</c:v>
                </c:pt>
                <c:pt idx="26">
                  <c:v>0.78183148246759704</c:v>
                </c:pt>
                <c:pt idx="27">
                  <c:v>0.93087374864383554</c:v>
                </c:pt>
                <c:pt idx="28">
                  <c:v>0.99720379718114915</c:v>
                </c:pt>
                <c:pt idx="29">
                  <c:v>0.97492791218198604</c:v>
                </c:pt>
              </c:numCache>
            </c:numRef>
          </c:val>
          <c:smooth val="0"/>
          <c:extLst>
            <c:ext xmlns:c16="http://schemas.microsoft.com/office/drawing/2014/chart" uri="{C3380CC4-5D6E-409C-BE32-E72D297353CC}">
              <c16:uniqueId val="{00000000-ABC6-4EA4-8F0F-EF028BE24214}"/>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BIorritmo!$F$153:$F$182</c:f>
              <c:numCache>
                <c:formatCode>General</c:formatCode>
                <c:ptCount val="30"/>
                <c:pt idx="0">
                  <c:v>0.90096886790239217</c:v>
                </c:pt>
                <c:pt idx="1">
                  <c:v>0.97492791218175723</c:v>
                </c:pt>
                <c:pt idx="2">
                  <c:v>1</c:v>
                </c:pt>
                <c:pt idx="3">
                  <c:v>0.97492791218179276</c:v>
                </c:pt>
                <c:pt idx="4">
                  <c:v>0.90096886790285613</c:v>
                </c:pt>
                <c:pt idx="5">
                  <c:v>0.78183148246823797</c:v>
                </c:pt>
                <c:pt idx="6">
                  <c:v>0.62348980185917935</c:v>
                </c:pt>
                <c:pt idx="7">
                  <c:v>0.43388373911828471</c:v>
                </c:pt>
                <c:pt idx="8">
                  <c:v>0.22252093395644429</c:v>
                </c:pt>
                <c:pt idx="9">
                  <c:v>3.694967509043634E-13</c:v>
                </c:pt>
                <c:pt idx="10">
                  <c:v>-0.22252093395572384</c:v>
                </c:pt>
                <c:pt idx="11">
                  <c:v>-0.43388373911761891</c:v>
                </c:pt>
                <c:pt idx="12">
                  <c:v>-0.62348980185860159</c:v>
                </c:pt>
                <c:pt idx="13">
                  <c:v>-0.78183148246834433</c:v>
                </c:pt>
                <c:pt idx="14">
                  <c:v>-0.9009688679025355</c:v>
                </c:pt>
                <c:pt idx="15">
                  <c:v>-0.97492791218162833</c:v>
                </c:pt>
                <c:pt idx="16">
                  <c:v>-1</c:v>
                </c:pt>
                <c:pt idx="17">
                  <c:v>-0.97492791218192165</c:v>
                </c:pt>
                <c:pt idx="18">
                  <c:v>-0.9009688679027128</c:v>
                </c:pt>
                <c:pt idx="19">
                  <c:v>-0.78183148246803214</c:v>
                </c:pt>
                <c:pt idx="20">
                  <c:v>-0.62348980185892111</c:v>
                </c:pt>
                <c:pt idx="21">
                  <c:v>-0.43388373911798717</c:v>
                </c:pt>
                <c:pt idx="22">
                  <c:v>-0.2225209339561223</c:v>
                </c:pt>
                <c:pt idx="23">
                  <c:v>-3.9216893621407678E-14</c:v>
                </c:pt>
                <c:pt idx="24">
                  <c:v>0.22252093395604583</c:v>
                </c:pt>
                <c:pt idx="25">
                  <c:v>0.4338837391179165</c:v>
                </c:pt>
                <c:pt idx="26">
                  <c:v>0.62348980185814873</c:v>
                </c:pt>
                <c:pt idx="27">
                  <c:v>0.78183148246741607</c:v>
                </c:pt>
                <c:pt idx="28">
                  <c:v>0.90096886790228414</c:v>
                </c:pt>
                <c:pt idx="29">
                  <c:v>0.97492791218170183</c:v>
                </c:pt>
              </c:numCache>
            </c:numRef>
          </c:val>
          <c:smooth val="0"/>
          <c:extLst>
            <c:ext xmlns:c16="http://schemas.microsoft.com/office/drawing/2014/chart" uri="{C3380CC4-5D6E-409C-BE32-E72D297353CC}">
              <c16:uniqueId val="{00000001-ABC6-4EA4-8F0F-EF028BE24214}"/>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BIorritmo!$G$153:$G$182</c:f>
              <c:numCache>
                <c:formatCode>General</c:formatCode>
                <c:ptCount val="30"/>
                <c:pt idx="0">
                  <c:v>0.18925124436054788</c:v>
                </c:pt>
                <c:pt idx="1">
                  <c:v>0.37166245566019485</c:v>
                </c:pt>
                <c:pt idx="2">
                  <c:v>0.54064081745600423</c:v>
                </c:pt>
                <c:pt idx="3">
                  <c:v>0.69007901148225692</c:v>
                </c:pt>
                <c:pt idx="4">
                  <c:v>0.81457595205028765</c:v>
                </c:pt>
                <c:pt idx="5">
                  <c:v>0.90963199535436634</c:v>
                </c:pt>
                <c:pt idx="6">
                  <c:v>0.97181156832338866</c:v>
                </c:pt>
                <c:pt idx="7">
                  <c:v>0.99886733918296366</c:v>
                </c:pt>
                <c:pt idx="8">
                  <c:v>0.98982144188097632</c:v>
                </c:pt>
                <c:pt idx="9">
                  <c:v>0.94500081871486119</c:v>
                </c:pt>
                <c:pt idx="10">
                  <c:v>0.8660254037848748</c:v>
                </c:pt>
                <c:pt idx="11">
                  <c:v>0.75574957435441936</c:v>
                </c:pt>
                <c:pt idx="12">
                  <c:v>0.61815898622102106</c:v>
                </c:pt>
                <c:pt idx="13">
                  <c:v>0.45822652172732392</c:v>
                </c:pt>
                <c:pt idx="14">
                  <c:v>0.28173255684160803</c:v>
                </c:pt>
                <c:pt idx="15">
                  <c:v>9.5056043304649548E-2</c:v>
                </c:pt>
                <c:pt idx="16">
                  <c:v>-9.5056043304339283E-2</c:v>
                </c:pt>
                <c:pt idx="17">
                  <c:v>-0.28173255684130899</c:v>
                </c:pt>
                <c:pt idx="18">
                  <c:v>-0.45822652172704692</c:v>
                </c:pt>
                <c:pt idx="19">
                  <c:v>-0.61815898622077614</c:v>
                </c:pt>
                <c:pt idx="20">
                  <c:v>-0.75574957435421519</c:v>
                </c:pt>
                <c:pt idx="21">
                  <c:v>-0.86602540378426418</c:v>
                </c:pt>
                <c:pt idx="22">
                  <c:v>-0.94500081871475927</c:v>
                </c:pt>
                <c:pt idx="23">
                  <c:v>-0.98982144188093191</c:v>
                </c:pt>
                <c:pt idx="24">
                  <c:v>-0.99886733918302173</c:v>
                </c:pt>
                <c:pt idx="25">
                  <c:v>-0.97181156832346216</c:v>
                </c:pt>
                <c:pt idx="26">
                  <c:v>-0.90963199535449579</c:v>
                </c:pt>
                <c:pt idx="27">
                  <c:v>-0.8145759520504684</c:v>
                </c:pt>
                <c:pt idx="28">
                  <c:v>-0.69007901148182427</c:v>
                </c:pt>
                <c:pt idx="29">
                  <c:v>-0.54064081745626646</c:v>
                </c:pt>
              </c:numCache>
            </c:numRef>
          </c:val>
          <c:smooth val="0"/>
          <c:extLst>
            <c:ext xmlns:c16="http://schemas.microsoft.com/office/drawing/2014/chart" uri="{C3380CC4-5D6E-409C-BE32-E72D297353CC}">
              <c16:uniqueId val="{00000002-ABC6-4EA4-8F0F-EF028BE24214}"/>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JULIO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BIorritmo!$E$183:$E$213</c:f>
              <c:numCache>
                <c:formatCode>General</c:formatCode>
                <c:ptCount val="31"/>
                <c:pt idx="0">
                  <c:v>0.86602540378405157</c:v>
                </c:pt>
                <c:pt idx="1">
                  <c:v>0.68017273777124942</c:v>
                </c:pt>
                <c:pt idx="2">
                  <c:v>0.43388373911824762</c:v>
                </c:pt>
                <c:pt idx="3">
                  <c:v>0.14904226617634336</c:v>
                </c:pt>
                <c:pt idx="4">
                  <c:v>-0.14904226617569402</c:v>
                </c:pt>
                <c:pt idx="5">
                  <c:v>-0.43388373911683659</c:v>
                </c:pt>
                <c:pt idx="6">
                  <c:v>-0.68017273777076814</c:v>
                </c:pt>
                <c:pt idx="7">
                  <c:v>-0.86602540378417792</c:v>
                </c:pt>
                <c:pt idx="8">
                  <c:v>-0.97492791218163743</c:v>
                </c:pt>
                <c:pt idx="9">
                  <c:v>-0.99720379718119823</c:v>
                </c:pt>
                <c:pt idx="10">
                  <c:v>-0.93087374864440775</c:v>
                </c:pt>
                <c:pt idx="11">
                  <c:v>-0.78183148246857348</c:v>
                </c:pt>
                <c:pt idx="12">
                  <c:v>-0.56332005806385133</c:v>
                </c:pt>
                <c:pt idx="13">
                  <c:v>-0.29475517441147042</c:v>
                </c:pt>
                <c:pt idx="14">
                  <c:v>-9.0755397988417918E-13</c:v>
                </c:pt>
                <c:pt idx="15">
                  <c:v>0.29475517441060506</c:v>
                </c:pt>
                <c:pt idx="16">
                  <c:v>0.56332005806310304</c:v>
                </c:pt>
                <c:pt idx="17">
                  <c:v>0.78183148246800882</c:v>
                </c:pt>
                <c:pt idx="18">
                  <c:v>0.9308737486440769</c:v>
                </c:pt>
                <c:pt idx="19">
                  <c:v>0.9972037971811305</c:v>
                </c:pt>
                <c:pt idx="20">
                  <c:v>0.97492791218183905</c:v>
                </c:pt>
                <c:pt idx="21">
                  <c:v>0.86602540378463078</c:v>
                </c:pt>
                <c:pt idx="22">
                  <c:v>0.68017273777143195</c:v>
                </c:pt>
                <c:pt idx="23">
                  <c:v>0.43388373911765249</c:v>
                </c:pt>
                <c:pt idx="24">
                  <c:v>0.14904226617658953</c:v>
                </c:pt>
                <c:pt idx="25">
                  <c:v>-0.14904226617544786</c:v>
                </c:pt>
                <c:pt idx="26">
                  <c:v>-0.43388373911743172</c:v>
                </c:pt>
                <c:pt idx="27">
                  <c:v>-0.68017273777058562</c:v>
                </c:pt>
                <c:pt idx="28">
                  <c:v>-0.86602540378405346</c:v>
                </c:pt>
                <c:pt idx="29">
                  <c:v>-0.97492791218178443</c:v>
                </c:pt>
                <c:pt idx="30">
                  <c:v>-0.99720379718121688</c:v>
                </c:pt>
              </c:numCache>
            </c:numRef>
          </c:val>
          <c:smooth val="0"/>
          <c:extLst>
            <c:ext xmlns:c16="http://schemas.microsoft.com/office/drawing/2014/chart" uri="{C3380CC4-5D6E-409C-BE32-E72D297353CC}">
              <c16:uniqueId val="{00000000-2B38-4595-A197-F59F44DCECEB}"/>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BIorritmo!$F$183:$F$213</c:f>
              <c:numCache>
                <c:formatCode>General</c:formatCode>
                <c:ptCount val="31"/>
                <c:pt idx="0">
                  <c:v>1</c:v>
                </c:pt>
                <c:pt idx="1">
                  <c:v>0.97492791218184816</c:v>
                </c:pt>
                <c:pt idx="2">
                  <c:v>0.90096886790256947</c:v>
                </c:pt>
                <c:pt idx="3">
                  <c:v>0.78183148246782619</c:v>
                </c:pt>
                <c:pt idx="4">
                  <c:v>0.62348980185866287</c:v>
                </c:pt>
                <c:pt idx="5">
                  <c:v>0.43388373911768957</c:v>
                </c:pt>
                <c:pt idx="6">
                  <c:v>0.2225209339558003</c:v>
                </c:pt>
                <c:pt idx="7">
                  <c:v>6.1843173811138019E-13</c:v>
                </c:pt>
                <c:pt idx="8">
                  <c:v>-0.22252093395548114</c:v>
                </c:pt>
                <c:pt idx="9">
                  <c:v>-0.43388373911739464</c:v>
                </c:pt>
                <c:pt idx="10">
                  <c:v>-0.62348980185840697</c:v>
                </c:pt>
                <c:pt idx="11">
                  <c:v>-0.78183148246762202</c:v>
                </c:pt>
                <c:pt idx="12">
                  <c:v>-0.90096886790242747</c:v>
                </c:pt>
                <c:pt idx="13">
                  <c:v>-0.97492791218177532</c:v>
                </c:pt>
                <c:pt idx="14">
                  <c:v>-1</c:v>
                </c:pt>
                <c:pt idx="15">
                  <c:v>-0.97492791218177466</c:v>
                </c:pt>
                <c:pt idx="16">
                  <c:v>-0.90096886790242625</c:v>
                </c:pt>
                <c:pt idx="17">
                  <c:v>-0.78183148246762024</c:v>
                </c:pt>
                <c:pt idx="18">
                  <c:v>-0.62348980185911573</c:v>
                </c:pt>
                <c:pt idx="19">
                  <c:v>-0.43388373911821143</c:v>
                </c:pt>
                <c:pt idx="20">
                  <c:v>-0.22252093395636499</c:v>
                </c:pt>
                <c:pt idx="21">
                  <c:v>-2.8815188082842447E-13</c:v>
                </c:pt>
                <c:pt idx="22">
                  <c:v>0.22252093395580314</c:v>
                </c:pt>
                <c:pt idx="23">
                  <c:v>0.43388373911769218</c:v>
                </c:pt>
                <c:pt idx="24">
                  <c:v>0.6234898018586652</c:v>
                </c:pt>
                <c:pt idx="25">
                  <c:v>0.78183148246782797</c:v>
                </c:pt>
                <c:pt idx="26">
                  <c:v>0.9009688679025708</c:v>
                </c:pt>
                <c:pt idx="27">
                  <c:v>0.97492791218184882</c:v>
                </c:pt>
                <c:pt idx="28">
                  <c:v>1</c:v>
                </c:pt>
                <c:pt idx="29">
                  <c:v>0.97492791218190356</c:v>
                </c:pt>
                <c:pt idx="30">
                  <c:v>0.90096886790267749</c:v>
                </c:pt>
              </c:numCache>
            </c:numRef>
          </c:val>
          <c:smooth val="0"/>
          <c:extLst>
            <c:ext xmlns:c16="http://schemas.microsoft.com/office/drawing/2014/chart" uri="{C3380CC4-5D6E-409C-BE32-E72D297353CC}">
              <c16:uniqueId val="{00000001-2B38-4595-A197-F59F44DCECEB}"/>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BIorritmo!$G$183:$G$213</c:f>
              <c:numCache>
                <c:formatCode>General</c:formatCode>
                <c:ptCount val="31"/>
                <c:pt idx="0">
                  <c:v>-0.37166245566048417</c:v>
                </c:pt>
                <c:pt idx="1">
                  <c:v>-0.18925124436085394</c:v>
                </c:pt>
                <c:pt idx="2">
                  <c:v>-7.3505654687999744E-13</c:v>
                </c:pt>
                <c:pt idx="3">
                  <c:v>0.18925124436030347</c:v>
                </c:pt>
                <c:pt idx="4">
                  <c:v>0.37166245565996375</c:v>
                </c:pt>
                <c:pt idx="5">
                  <c:v>0.54064081745502968</c:v>
                </c:pt>
                <c:pt idx="6">
                  <c:v>0.69007901148207673</c:v>
                </c:pt>
                <c:pt idx="7">
                  <c:v>0.81457595205014321</c:v>
                </c:pt>
                <c:pt idx="8">
                  <c:v>0.90963199535426287</c:v>
                </c:pt>
                <c:pt idx="9">
                  <c:v>0.97181156832354443</c:v>
                </c:pt>
                <c:pt idx="10">
                  <c:v>0.99886733918299508</c:v>
                </c:pt>
                <c:pt idx="11">
                  <c:v>0.98982144188101173</c:v>
                </c:pt>
                <c:pt idx="12">
                  <c:v>0.94500081871464514</c:v>
                </c:pt>
                <c:pt idx="13">
                  <c:v>0.86602540378454451</c:v>
                </c:pt>
                <c:pt idx="14">
                  <c:v>0.75574957435458234</c:v>
                </c:pt>
                <c:pt idx="15">
                  <c:v>0.6181589862205018</c:v>
                </c:pt>
                <c:pt idx="16">
                  <c:v>0.45822652172754519</c:v>
                </c:pt>
                <c:pt idx="17">
                  <c:v>0.28173255684097426</c:v>
                </c:pt>
                <c:pt idx="18">
                  <c:v>9.5056043303991991E-2</c:v>
                </c:pt>
                <c:pt idx="19">
                  <c:v>-9.5056043304091481E-2</c:v>
                </c:pt>
                <c:pt idx="20">
                  <c:v>-0.28173255684194276</c:v>
                </c:pt>
                <c:pt idx="21">
                  <c:v>-0.45822652172763401</c:v>
                </c:pt>
                <c:pt idx="22">
                  <c:v>-0.61815898622058041</c:v>
                </c:pt>
                <c:pt idx="23">
                  <c:v>-0.75574957435405221</c:v>
                </c:pt>
                <c:pt idx="24">
                  <c:v>-0.86602540378413972</c:v>
                </c:pt>
                <c:pt idx="25">
                  <c:v>-0.94500081871438035</c:v>
                </c:pt>
                <c:pt idx="26">
                  <c:v>-0.98982144188089649</c:v>
                </c:pt>
                <c:pt idx="27">
                  <c:v>-0.99886733918303361</c:v>
                </c:pt>
                <c:pt idx="28">
                  <c:v>-0.97181156832373528</c:v>
                </c:pt>
                <c:pt idx="29">
                  <c:v>-0.90963199535459927</c:v>
                </c:pt>
                <c:pt idx="30">
                  <c:v>-0.81457595205061284</c:v>
                </c:pt>
              </c:numCache>
            </c:numRef>
          </c:val>
          <c:smooth val="0"/>
          <c:extLst>
            <c:ext xmlns:c16="http://schemas.microsoft.com/office/drawing/2014/chart" uri="{C3380CC4-5D6E-409C-BE32-E72D297353CC}">
              <c16:uniqueId val="{00000002-2B38-4595-A197-F59F44DCECEB}"/>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AGOSTO</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BIorritmo!$E$183:$E$213</c:f>
              <c:numCache>
                <c:formatCode>General</c:formatCode>
                <c:ptCount val="31"/>
                <c:pt idx="0">
                  <c:v>0.86602540378405157</c:v>
                </c:pt>
                <c:pt idx="1">
                  <c:v>0.68017273777124942</c:v>
                </c:pt>
                <c:pt idx="2">
                  <c:v>0.43388373911824762</c:v>
                </c:pt>
                <c:pt idx="3">
                  <c:v>0.14904226617634336</c:v>
                </c:pt>
                <c:pt idx="4">
                  <c:v>-0.14904226617569402</c:v>
                </c:pt>
                <c:pt idx="5">
                  <c:v>-0.43388373911683659</c:v>
                </c:pt>
                <c:pt idx="6">
                  <c:v>-0.68017273777076814</c:v>
                </c:pt>
                <c:pt idx="7">
                  <c:v>-0.86602540378417792</c:v>
                </c:pt>
                <c:pt idx="8">
                  <c:v>-0.97492791218163743</c:v>
                </c:pt>
                <c:pt idx="9">
                  <c:v>-0.99720379718119823</c:v>
                </c:pt>
                <c:pt idx="10">
                  <c:v>-0.93087374864440775</c:v>
                </c:pt>
                <c:pt idx="11">
                  <c:v>-0.78183148246857348</c:v>
                </c:pt>
                <c:pt idx="12">
                  <c:v>-0.56332005806385133</c:v>
                </c:pt>
                <c:pt idx="13">
                  <c:v>-0.29475517441147042</c:v>
                </c:pt>
                <c:pt idx="14">
                  <c:v>-9.0755397988417918E-13</c:v>
                </c:pt>
                <c:pt idx="15">
                  <c:v>0.29475517441060506</c:v>
                </c:pt>
                <c:pt idx="16">
                  <c:v>0.56332005806310304</c:v>
                </c:pt>
                <c:pt idx="17">
                  <c:v>0.78183148246800882</c:v>
                </c:pt>
                <c:pt idx="18">
                  <c:v>0.9308737486440769</c:v>
                </c:pt>
                <c:pt idx="19">
                  <c:v>0.9972037971811305</c:v>
                </c:pt>
                <c:pt idx="20">
                  <c:v>0.97492791218183905</c:v>
                </c:pt>
                <c:pt idx="21">
                  <c:v>0.86602540378463078</c:v>
                </c:pt>
                <c:pt idx="22">
                  <c:v>0.68017273777143195</c:v>
                </c:pt>
                <c:pt idx="23">
                  <c:v>0.43388373911765249</c:v>
                </c:pt>
                <c:pt idx="24">
                  <c:v>0.14904226617658953</c:v>
                </c:pt>
                <c:pt idx="25">
                  <c:v>-0.14904226617544786</c:v>
                </c:pt>
                <c:pt idx="26">
                  <c:v>-0.43388373911743172</c:v>
                </c:pt>
                <c:pt idx="27">
                  <c:v>-0.68017273777058562</c:v>
                </c:pt>
                <c:pt idx="28">
                  <c:v>-0.86602540378405346</c:v>
                </c:pt>
                <c:pt idx="29">
                  <c:v>-0.97492791218178443</c:v>
                </c:pt>
                <c:pt idx="30">
                  <c:v>-0.99720379718121688</c:v>
                </c:pt>
              </c:numCache>
            </c:numRef>
          </c:val>
          <c:smooth val="0"/>
          <c:extLst>
            <c:ext xmlns:c16="http://schemas.microsoft.com/office/drawing/2014/chart" uri="{C3380CC4-5D6E-409C-BE32-E72D297353CC}">
              <c16:uniqueId val="{00000000-6113-468E-8B6D-A1A42F5A62C6}"/>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BIorritmo!$F$214:$F$244</c:f>
              <c:numCache>
                <c:formatCode>General</c:formatCode>
                <c:ptCount val="31"/>
                <c:pt idx="0">
                  <c:v>0.78183148246854839</c:v>
                </c:pt>
                <c:pt idx="1">
                  <c:v>0.6234898018588575</c:v>
                </c:pt>
                <c:pt idx="2">
                  <c:v>0.43388373911791384</c:v>
                </c:pt>
                <c:pt idx="3">
                  <c:v>0.222520933956043</c:v>
                </c:pt>
                <c:pt idx="4">
                  <c:v>-4.2127976454531257E-14</c:v>
                </c:pt>
                <c:pt idx="5">
                  <c:v>-0.22252093395612513</c:v>
                </c:pt>
                <c:pt idx="6">
                  <c:v>-0.43388373911798978</c:v>
                </c:pt>
                <c:pt idx="7">
                  <c:v>-0.62348980185892333</c:v>
                </c:pt>
                <c:pt idx="8">
                  <c:v>-0.78183148246746681</c:v>
                </c:pt>
                <c:pt idx="9">
                  <c:v>-0.90096886790231945</c:v>
                </c:pt>
                <c:pt idx="10">
                  <c:v>-0.97492791218171992</c:v>
                </c:pt>
                <c:pt idx="11">
                  <c:v>-1</c:v>
                </c:pt>
                <c:pt idx="12">
                  <c:v>-0.97492791218183006</c:v>
                </c:pt>
                <c:pt idx="13">
                  <c:v>-0.90096886790253417</c:v>
                </c:pt>
                <c:pt idx="14">
                  <c:v>-0.78183148246834255</c:v>
                </c:pt>
                <c:pt idx="15">
                  <c:v>-0.62348980185859926</c:v>
                </c:pt>
                <c:pt idx="16">
                  <c:v>-0.4338837391176163</c:v>
                </c:pt>
                <c:pt idx="17">
                  <c:v>-0.22252093395660769</c:v>
                </c:pt>
                <c:pt idx="18">
                  <c:v>3.7240783373748698E-13</c:v>
                </c:pt>
                <c:pt idx="19">
                  <c:v>0.22252093395556044</c:v>
                </c:pt>
                <c:pt idx="20">
                  <c:v>0.43388373911664851</c:v>
                </c:pt>
                <c:pt idx="21">
                  <c:v>0.62348980185847058</c:v>
                </c:pt>
                <c:pt idx="22">
                  <c:v>0.78183148246767276</c:v>
                </c:pt>
                <c:pt idx="23">
                  <c:v>0.90096886790246278</c:v>
                </c:pt>
                <c:pt idx="24">
                  <c:v>0.97492791218179342</c:v>
                </c:pt>
                <c:pt idx="25">
                  <c:v>1</c:v>
                </c:pt>
                <c:pt idx="26">
                  <c:v>0.97492791218175656</c:v>
                </c:pt>
                <c:pt idx="27">
                  <c:v>0.90096886790239095</c:v>
                </c:pt>
                <c:pt idx="28">
                  <c:v>0.78183148246813661</c:v>
                </c:pt>
                <c:pt idx="29">
                  <c:v>0.62348980185834102</c:v>
                </c:pt>
                <c:pt idx="30">
                  <c:v>0.43388373911813816</c:v>
                </c:pt>
              </c:numCache>
            </c:numRef>
          </c:val>
          <c:smooth val="0"/>
          <c:extLst>
            <c:ext xmlns:c16="http://schemas.microsoft.com/office/drawing/2014/chart" uri="{C3380CC4-5D6E-409C-BE32-E72D297353CC}">
              <c16:uniqueId val="{00000001-6113-468E-8B6D-A1A42F5A62C6}"/>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BIorritmo!$G$214:$G$244</c:f>
              <c:numCache>
                <c:formatCode>General</c:formatCode>
                <c:ptCount val="31"/>
                <c:pt idx="0">
                  <c:v>-0.69007901148266271</c:v>
                </c:pt>
                <c:pt idx="1">
                  <c:v>-0.5406408174557108</c:v>
                </c:pt>
                <c:pt idx="2">
                  <c:v>-0.37166245566071532</c:v>
                </c:pt>
                <c:pt idx="3">
                  <c:v>-0.18925124436020532</c:v>
                </c:pt>
                <c:pt idx="4">
                  <c:v>-7.4496832314085992E-14</c:v>
                </c:pt>
                <c:pt idx="5">
                  <c:v>0.18925124436005902</c:v>
                </c:pt>
                <c:pt idx="6">
                  <c:v>0.37166245566057698</c:v>
                </c:pt>
                <c:pt idx="7">
                  <c:v>0.54064081745558545</c:v>
                </c:pt>
                <c:pt idx="8">
                  <c:v>0.69007901148189665</c:v>
                </c:pt>
                <c:pt idx="9">
                  <c:v>0.81457595205052635</c:v>
                </c:pt>
                <c:pt idx="10">
                  <c:v>0.90963199535453731</c:v>
                </c:pt>
                <c:pt idx="11">
                  <c:v>0.9718115683234857</c:v>
                </c:pt>
                <c:pt idx="12">
                  <c:v>0.9988673391830265</c:v>
                </c:pt>
                <c:pt idx="13">
                  <c:v>0.9898214418809177</c:v>
                </c:pt>
                <c:pt idx="14">
                  <c:v>0.94500081871472652</c:v>
                </c:pt>
                <c:pt idx="15">
                  <c:v>0.86602540378421422</c:v>
                </c:pt>
                <c:pt idx="16">
                  <c:v>0.7557495743541498</c:v>
                </c:pt>
                <c:pt idx="17">
                  <c:v>0.61815898622141241</c:v>
                </c:pt>
                <c:pt idx="18">
                  <c:v>0.45822652172776646</c:v>
                </c:pt>
                <c:pt idx="19">
                  <c:v>0.28173255684208576</c:v>
                </c:pt>
                <c:pt idx="20">
                  <c:v>9.5056043305145166E-2</c:v>
                </c:pt>
                <c:pt idx="21">
                  <c:v>-9.5056043303843665E-2</c:v>
                </c:pt>
                <c:pt idx="22">
                  <c:v>-0.28173255684083126</c:v>
                </c:pt>
                <c:pt idx="23">
                  <c:v>-0.45822652172741274</c:v>
                </c:pt>
                <c:pt idx="24">
                  <c:v>-0.61815898622038479</c:v>
                </c:pt>
                <c:pt idx="25">
                  <c:v>-0.75574957435388923</c:v>
                </c:pt>
                <c:pt idx="26">
                  <c:v>-0.86602540378447002</c:v>
                </c:pt>
                <c:pt idx="27">
                  <c:v>-0.9450008187145964</c:v>
                </c:pt>
                <c:pt idx="28">
                  <c:v>-0.98982144188086107</c:v>
                </c:pt>
                <c:pt idx="29">
                  <c:v>-0.99886733918300219</c:v>
                </c:pt>
                <c:pt idx="30">
                  <c:v>-0.97181156832357951</c:v>
                </c:pt>
              </c:numCache>
            </c:numRef>
          </c:val>
          <c:smooth val="0"/>
          <c:extLst>
            <c:ext xmlns:c16="http://schemas.microsoft.com/office/drawing/2014/chart" uri="{C3380CC4-5D6E-409C-BE32-E72D297353CC}">
              <c16:uniqueId val="{00000002-6113-468E-8B6D-A1A42F5A62C6}"/>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SEPTIEMBRE</a:t>
            </a:r>
          </a:p>
        </c:rich>
      </c:tx>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BIorritmo!$E$245:$E$274</c:f>
              <c:numCache>
                <c:formatCode>General</c:formatCode>
                <c:ptCount val="30"/>
                <c:pt idx="0">
                  <c:v>0.97492791218194974</c:v>
                </c:pt>
                <c:pt idx="1">
                  <c:v>0.86602540378442494</c:v>
                </c:pt>
                <c:pt idx="2">
                  <c:v>0.68017273777113019</c:v>
                </c:pt>
                <c:pt idx="3">
                  <c:v>0.43388373911810107</c:v>
                </c:pt>
                <c:pt idx="4">
                  <c:v>0.14904226617618249</c:v>
                </c:pt>
                <c:pt idx="5">
                  <c:v>-0.14904226617585489</c:v>
                </c:pt>
                <c:pt idx="6">
                  <c:v>-0.43388373911698314</c:v>
                </c:pt>
                <c:pt idx="7">
                  <c:v>-0.68017273777088738</c:v>
                </c:pt>
                <c:pt idx="8">
                  <c:v>-0.8660254037842593</c:v>
                </c:pt>
                <c:pt idx="9">
                  <c:v>-0.97492791218187602</c:v>
                </c:pt>
                <c:pt idx="10">
                  <c:v>-0.99720379718118612</c:v>
                </c:pt>
                <c:pt idx="11">
                  <c:v>-0.93087374864434835</c:v>
                </c:pt>
                <c:pt idx="12">
                  <c:v>-0.78183148246790501</c:v>
                </c:pt>
                <c:pt idx="13">
                  <c:v>-0.56332005806371688</c:v>
                </c:pt>
                <c:pt idx="14">
                  <c:v>-0.29475517441131499</c:v>
                </c:pt>
                <c:pt idx="15">
                  <c:v>1.6463046204062692E-13</c:v>
                </c:pt>
                <c:pt idx="16">
                  <c:v>0.29475517441076049</c:v>
                </c:pt>
                <c:pt idx="17">
                  <c:v>0.56332005806323748</c:v>
                </c:pt>
                <c:pt idx="18">
                  <c:v>0.78183148246811029</c:v>
                </c:pt>
                <c:pt idx="19">
                  <c:v>0.9308737486441363</c:v>
                </c:pt>
                <c:pt idx="20">
                  <c:v>0.99720379718114271</c:v>
                </c:pt>
                <c:pt idx="21">
                  <c:v>0.97492791218180275</c:v>
                </c:pt>
                <c:pt idx="22">
                  <c:v>0.8660254037845494</c:v>
                </c:pt>
                <c:pt idx="23">
                  <c:v>0.68017273777131271</c:v>
                </c:pt>
                <c:pt idx="24">
                  <c:v>0.43388373911750594</c:v>
                </c:pt>
                <c:pt idx="25">
                  <c:v>0.14904226617642866</c:v>
                </c:pt>
                <c:pt idx="26">
                  <c:v>-0.14904226617650809</c:v>
                </c:pt>
                <c:pt idx="27">
                  <c:v>-0.43388373911757827</c:v>
                </c:pt>
                <c:pt idx="28">
                  <c:v>-0.68017273777070486</c:v>
                </c:pt>
                <c:pt idx="29">
                  <c:v>-0.86602540378458959</c:v>
                </c:pt>
              </c:numCache>
            </c:numRef>
          </c:val>
          <c:smooth val="0"/>
          <c:extLst>
            <c:ext xmlns:c16="http://schemas.microsoft.com/office/drawing/2014/chart" uri="{C3380CC4-5D6E-409C-BE32-E72D297353CC}">
              <c16:uniqueId val="{00000000-7648-46E3-ABC3-92C9D50F1CB8}"/>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BIorritmo!$F$214:$F$244</c:f>
              <c:numCache>
                <c:formatCode>General</c:formatCode>
                <c:ptCount val="31"/>
                <c:pt idx="0">
                  <c:v>0.78183148246854839</c:v>
                </c:pt>
                <c:pt idx="1">
                  <c:v>0.6234898018588575</c:v>
                </c:pt>
                <c:pt idx="2">
                  <c:v>0.43388373911791384</c:v>
                </c:pt>
                <c:pt idx="3">
                  <c:v>0.222520933956043</c:v>
                </c:pt>
                <c:pt idx="4">
                  <c:v>-4.2127976454531257E-14</c:v>
                </c:pt>
                <c:pt idx="5">
                  <c:v>-0.22252093395612513</c:v>
                </c:pt>
                <c:pt idx="6">
                  <c:v>-0.43388373911798978</c:v>
                </c:pt>
                <c:pt idx="7">
                  <c:v>-0.62348980185892333</c:v>
                </c:pt>
                <c:pt idx="8">
                  <c:v>-0.78183148246746681</c:v>
                </c:pt>
                <c:pt idx="9">
                  <c:v>-0.90096886790231945</c:v>
                </c:pt>
                <c:pt idx="10">
                  <c:v>-0.97492791218171992</c:v>
                </c:pt>
                <c:pt idx="11">
                  <c:v>-1</c:v>
                </c:pt>
                <c:pt idx="12">
                  <c:v>-0.97492791218183006</c:v>
                </c:pt>
                <c:pt idx="13">
                  <c:v>-0.90096886790253417</c:v>
                </c:pt>
                <c:pt idx="14">
                  <c:v>-0.78183148246834255</c:v>
                </c:pt>
                <c:pt idx="15">
                  <c:v>-0.62348980185859926</c:v>
                </c:pt>
                <c:pt idx="16">
                  <c:v>-0.4338837391176163</c:v>
                </c:pt>
                <c:pt idx="17">
                  <c:v>-0.22252093395660769</c:v>
                </c:pt>
                <c:pt idx="18">
                  <c:v>3.7240783373748698E-13</c:v>
                </c:pt>
                <c:pt idx="19">
                  <c:v>0.22252093395556044</c:v>
                </c:pt>
                <c:pt idx="20">
                  <c:v>0.43388373911664851</c:v>
                </c:pt>
                <c:pt idx="21">
                  <c:v>0.62348980185847058</c:v>
                </c:pt>
                <c:pt idx="22">
                  <c:v>0.78183148246767276</c:v>
                </c:pt>
                <c:pt idx="23">
                  <c:v>0.90096886790246278</c:v>
                </c:pt>
                <c:pt idx="24">
                  <c:v>0.97492791218179342</c:v>
                </c:pt>
                <c:pt idx="25">
                  <c:v>1</c:v>
                </c:pt>
                <c:pt idx="26">
                  <c:v>0.97492791218175656</c:v>
                </c:pt>
                <c:pt idx="27">
                  <c:v>0.90096886790239095</c:v>
                </c:pt>
                <c:pt idx="28">
                  <c:v>0.78183148246813661</c:v>
                </c:pt>
                <c:pt idx="29">
                  <c:v>0.62348980185834102</c:v>
                </c:pt>
                <c:pt idx="30">
                  <c:v>0.43388373911813816</c:v>
                </c:pt>
              </c:numCache>
            </c:numRef>
          </c:val>
          <c:smooth val="0"/>
          <c:extLst>
            <c:ext xmlns:c16="http://schemas.microsoft.com/office/drawing/2014/chart" uri="{C3380CC4-5D6E-409C-BE32-E72D297353CC}">
              <c16:uniqueId val="{00000001-7648-46E3-ABC3-92C9D50F1CB8}"/>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BIorritmo!$G$245:$G$274</c:f>
              <c:numCache>
                <c:formatCode>General</c:formatCode>
                <c:ptCount val="30"/>
                <c:pt idx="0">
                  <c:v>-0.90963199535470263</c:v>
                </c:pt>
                <c:pt idx="1">
                  <c:v>-0.8145759520502297</c:v>
                </c:pt>
                <c:pt idx="2">
                  <c:v>-0.69007901148218465</c:v>
                </c:pt>
                <c:pt idx="3">
                  <c:v>-0.54064081745592019</c:v>
                </c:pt>
                <c:pt idx="4">
                  <c:v>-0.37166245566010203</c:v>
                </c:pt>
                <c:pt idx="5">
                  <c:v>-0.18925124436044977</c:v>
                </c:pt>
                <c:pt idx="6">
                  <c:v>-3.2343181952110278E-13</c:v>
                </c:pt>
                <c:pt idx="7">
                  <c:v>0.18925124436070764</c:v>
                </c:pt>
                <c:pt idx="8">
                  <c:v>0.37166245566034589</c:v>
                </c:pt>
                <c:pt idx="9">
                  <c:v>0.54064081745614112</c:v>
                </c:pt>
                <c:pt idx="10">
                  <c:v>0.69007901148171646</c:v>
                </c:pt>
                <c:pt idx="11">
                  <c:v>0.81457595204985445</c:v>
                </c:pt>
                <c:pt idx="12">
                  <c:v>0.90963199535443395</c:v>
                </c:pt>
                <c:pt idx="13">
                  <c:v>0.97181156832342697</c:v>
                </c:pt>
                <c:pt idx="14">
                  <c:v>0.99886733918297133</c:v>
                </c:pt>
                <c:pt idx="15">
                  <c:v>0.98982144188095311</c:v>
                </c:pt>
                <c:pt idx="16">
                  <c:v>0.94500081871480801</c:v>
                </c:pt>
                <c:pt idx="17">
                  <c:v>0.86602540378479342</c:v>
                </c:pt>
                <c:pt idx="18">
                  <c:v>0.75574957435431278</c:v>
                </c:pt>
                <c:pt idx="19">
                  <c:v>0.61815898622089316</c:v>
                </c:pt>
                <c:pt idx="20">
                  <c:v>0.45822652172798772</c:v>
                </c:pt>
                <c:pt idx="21">
                  <c:v>0.28173255684145193</c:v>
                </c:pt>
                <c:pt idx="22">
                  <c:v>9.5056043304487609E-2</c:v>
                </c:pt>
                <c:pt idx="23">
                  <c:v>-9.5056043303595864E-2</c:v>
                </c:pt>
                <c:pt idx="24">
                  <c:v>-0.28173255684146509</c:v>
                </c:pt>
                <c:pt idx="25">
                  <c:v>-0.45822652172719147</c:v>
                </c:pt>
                <c:pt idx="26">
                  <c:v>-0.61815898622090393</c:v>
                </c:pt>
                <c:pt idx="27">
                  <c:v>-0.75574957435432177</c:v>
                </c:pt>
                <c:pt idx="28">
                  <c:v>-0.86602540378434556</c:v>
                </c:pt>
                <c:pt idx="29">
                  <c:v>-0.94500081871481245</c:v>
                </c:pt>
              </c:numCache>
            </c:numRef>
          </c:val>
          <c:smooth val="0"/>
          <c:extLst>
            <c:ext xmlns:c16="http://schemas.microsoft.com/office/drawing/2014/chart" uri="{C3380CC4-5D6E-409C-BE32-E72D297353CC}">
              <c16:uniqueId val="{00000002-7648-46E3-ABC3-92C9D50F1CB8}"/>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219075</xdr:colOff>
          <xdr:row>8</xdr:row>
          <xdr:rowOff>95250</xdr:rowOff>
        </xdr:from>
        <xdr:to>
          <xdr:col>20</xdr:col>
          <xdr:colOff>76200</xdr:colOff>
          <xdr:row>9</xdr:row>
          <xdr:rowOff>980919</xdr:rowOff>
        </xdr:to>
        <xdr:pic>
          <xdr:nvPicPr>
            <xdr:cNvPr id="2094" name="Imagen 4"/>
            <xdr:cNvPicPr>
              <a:picLocks noChangeAspect="1"/>
              <a:extLst>
                <a:ext uri="{84589F7E-364E-4C9E-8A38-B11213B215E9}">
                  <a14:cameraTool cellRange="horoscopo" spid="_x0000_s2254"/>
                </a:ext>
              </a:extLst>
            </xdr:cNvPicPr>
          </xdr:nvPicPr>
          <xdr:blipFill>
            <a:blip xmlns:r="http://schemas.openxmlformats.org/officeDocument/2006/relationships" r:embed="rId1"/>
            <a:srcRect/>
            <a:stretch>
              <a:fillRect/>
            </a:stretch>
          </xdr:blipFill>
          <xdr:spPr bwMode="auto">
            <a:xfrm>
              <a:off x="5133975" y="2324100"/>
              <a:ext cx="1114425" cy="1143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8</xdr:row>
          <xdr:rowOff>152400</xdr:rowOff>
        </xdr:from>
        <xdr:to>
          <xdr:col>26</xdr:col>
          <xdr:colOff>76200</xdr:colOff>
          <xdr:row>9</xdr:row>
          <xdr:rowOff>476094</xdr:rowOff>
        </xdr:to>
        <xdr:pic>
          <xdr:nvPicPr>
            <xdr:cNvPr id="2095" name="Imagen 6"/>
            <xdr:cNvPicPr>
              <a:picLocks noChangeAspect="1"/>
              <a:extLst>
                <a:ext uri="{84589F7E-364E-4C9E-8A38-B11213B215E9}">
                  <a14:cameraTool cellRange="compañero" spid="_x0000_s2255"/>
                </a:ext>
              </a:extLst>
            </xdr:cNvPicPr>
          </xdr:nvPicPr>
          <xdr:blipFill>
            <a:blip xmlns:r="http://schemas.openxmlformats.org/officeDocument/2006/relationships" r:embed="rId2"/>
            <a:srcRect/>
            <a:stretch>
              <a:fillRect/>
            </a:stretch>
          </xdr:blipFill>
          <xdr:spPr bwMode="auto">
            <a:xfrm>
              <a:off x="7572375" y="2381250"/>
              <a:ext cx="561975" cy="581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1047749</xdr:colOff>
      <xdr:row>1</xdr:row>
      <xdr:rowOff>9524</xdr:rowOff>
    </xdr:from>
    <xdr:to>
      <xdr:col>14</xdr:col>
      <xdr:colOff>752475</xdr:colOff>
      <xdr:row>32</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32</xdr:row>
      <xdr:rowOff>0</xdr:rowOff>
    </xdr:from>
    <xdr:to>
      <xdr:col>15</xdr:col>
      <xdr:colOff>0</xdr:colOff>
      <xdr:row>60</xdr:row>
      <xdr:rowOff>9525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60</xdr:row>
      <xdr:rowOff>0</xdr:rowOff>
    </xdr:from>
    <xdr:to>
      <xdr:col>14</xdr:col>
      <xdr:colOff>752476</xdr:colOff>
      <xdr:row>90</xdr:row>
      <xdr:rowOff>152401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90</xdr:row>
      <xdr:rowOff>142876</xdr:rowOff>
    </xdr:from>
    <xdr:to>
      <xdr:col>14</xdr:col>
      <xdr:colOff>752476</xdr:colOff>
      <xdr:row>120</xdr:row>
      <xdr:rowOff>152401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121</xdr:row>
      <xdr:rowOff>0</xdr:rowOff>
    </xdr:from>
    <xdr:to>
      <xdr:col>14</xdr:col>
      <xdr:colOff>752476</xdr:colOff>
      <xdr:row>151</xdr:row>
      <xdr:rowOff>152401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152</xdr:row>
      <xdr:rowOff>0</xdr:rowOff>
    </xdr:from>
    <xdr:to>
      <xdr:col>14</xdr:col>
      <xdr:colOff>752476</xdr:colOff>
      <xdr:row>181</xdr:row>
      <xdr:rowOff>152400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182</xdr:row>
      <xdr:rowOff>0</xdr:rowOff>
    </xdr:from>
    <xdr:to>
      <xdr:col>14</xdr:col>
      <xdr:colOff>752476</xdr:colOff>
      <xdr:row>212</xdr:row>
      <xdr:rowOff>152401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213</xdr:row>
      <xdr:rowOff>0</xdr:rowOff>
    </xdr:from>
    <xdr:to>
      <xdr:col>14</xdr:col>
      <xdr:colOff>752476</xdr:colOff>
      <xdr:row>243</xdr:row>
      <xdr:rowOff>152401</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244</xdr:row>
      <xdr:rowOff>0</xdr:rowOff>
    </xdr:from>
    <xdr:to>
      <xdr:col>14</xdr:col>
      <xdr:colOff>752476</xdr:colOff>
      <xdr:row>273</xdr:row>
      <xdr:rowOff>152400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274</xdr:row>
      <xdr:rowOff>0</xdr:rowOff>
    </xdr:from>
    <xdr:to>
      <xdr:col>14</xdr:col>
      <xdr:colOff>752476</xdr:colOff>
      <xdr:row>304</xdr:row>
      <xdr:rowOff>152401</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305</xdr:row>
      <xdr:rowOff>0</xdr:rowOff>
    </xdr:from>
    <xdr:to>
      <xdr:col>14</xdr:col>
      <xdr:colOff>752476</xdr:colOff>
      <xdr:row>334</xdr:row>
      <xdr:rowOff>152400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335</xdr:row>
      <xdr:rowOff>0</xdr:rowOff>
    </xdr:from>
    <xdr:to>
      <xdr:col>14</xdr:col>
      <xdr:colOff>752476</xdr:colOff>
      <xdr:row>365</xdr:row>
      <xdr:rowOff>152401</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1</xdr:row>
      <xdr:rowOff>85725</xdr:rowOff>
    </xdr:from>
    <xdr:to>
      <xdr:col>1</xdr:col>
      <xdr:colOff>1066800</xdr:colOff>
      <xdr:row>1</xdr:row>
      <xdr:rowOff>1114425</xdr:rowOff>
    </xdr:to>
    <xdr:pic>
      <xdr:nvPicPr>
        <xdr:cNvPr id="150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57175"/>
          <a:ext cx="1000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xdr:row>
      <xdr:rowOff>114300</xdr:rowOff>
    </xdr:from>
    <xdr:to>
      <xdr:col>1</xdr:col>
      <xdr:colOff>1057275</xdr:colOff>
      <xdr:row>2</xdr:row>
      <xdr:rowOff>1019175</xdr:rowOff>
    </xdr:to>
    <xdr:pic>
      <xdr:nvPicPr>
        <xdr:cNvPr id="150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428750"/>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xdr:row>
      <xdr:rowOff>142875</xdr:rowOff>
    </xdr:from>
    <xdr:to>
      <xdr:col>1</xdr:col>
      <xdr:colOff>1066800</xdr:colOff>
      <xdr:row>3</xdr:row>
      <xdr:rowOff>1028700</xdr:rowOff>
    </xdr:to>
    <xdr:pic>
      <xdr:nvPicPr>
        <xdr:cNvPr id="150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 y="2600325"/>
          <a:ext cx="1009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xdr:row>
      <xdr:rowOff>152400</xdr:rowOff>
    </xdr:from>
    <xdr:to>
      <xdr:col>1</xdr:col>
      <xdr:colOff>971550</xdr:colOff>
      <xdr:row>4</xdr:row>
      <xdr:rowOff>1076325</xdr:rowOff>
    </xdr:to>
    <xdr:pic>
      <xdr:nvPicPr>
        <xdr:cNvPr id="1510" name="Imagen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3925" y="3752850"/>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104775</xdr:rowOff>
    </xdr:from>
    <xdr:to>
      <xdr:col>1</xdr:col>
      <xdr:colOff>1038225</xdr:colOff>
      <xdr:row>5</xdr:row>
      <xdr:rowOff>1057275</xdr:rowOff>
    </xdr:to>
    <xdr:pic>
      <xdr:nvPicPr>
        <xdr:cNvPr id="1511" name="Imagen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5825" y="4848225"/>
          <a:ext cx="914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6</xdr:row>
      <xdr:rowOff>161925</xdr:rowOff>
    </xdr:from>
    <xdr:to>
      <xdr:col>1</xdr:col>
      <xdr:colOff>1047750</xdr:colOff>
      <xdr:row>6</xdr:row>
      <xdr:rowOff>1019175</xdr:rowOff>
    </xdr:to>
    <xdr:pic>
      <xdr:nvPicPr>
        <xdr:cNvPr id="1512" name="Imagen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 y="6048375"/>
          <a:ext cx="981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76200</xdr:rowOff>
    </xdr:from>
    <xdr:to>
      <xdr:col>1</xdr:col>
      <xdr:colOff>1057275</xdr:colOff>
      <xdr:row>7</xdr:row>
      <xdr:rowOff>1066800</xdr:rowOff>
    </xdr:to>
    <xdr:pic>
      <xdr:nvPicPr>
        <xdr:cNvPr id="1513"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7105650"/>
          <a:ext cx="1009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xdr:row>
      <xdr:rowOff>66675</xdr:rowOff>
    </xdr:from>
    <xdr:to>
      <xdr:col>1</xdr:col>
      <xdr:colOff>990600</xdr:colOff>
      <xdr:row>8</xdr:row>
      <xdr:rowOff>1076325</xdr:rowOff>
    </xdr:to>
    <xdr:pic>
      <xdr:nvPicPr>
        <xdr:cNvPr id="1514" name="Imagen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5825" y="8239125"/>
          <a:ext cx="8667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9</xdr:row>
      <xdr:rowOff>85725</xdr:rowOff>
    </xdr:from>
    <xdr:to>
      <xdr:col>1</xdr:col>
      <xdr:colOff>981075</xdr:colOff>
      <xdr:row>9</xdr:row>
      <xdr:rowOff>1095375</xdr:rowOff>
    </xdr:to>
    <xdr:pic>
      <xdr:nvPicPr>
        <xdr:cNvPr id="1515" name="Imagen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6775" y="9401175"/>
          <a:ext cx="876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66675</xdr:rowOff>
    </xdr:from>
    <xdr:to>
      <xdr:col>1</xdr:col>
      <xdr:colOff>981075</xdr:colOff>
      <xdr:row>10</xdr:row>
      <xdr:rowOff>1057275</xdr:rowOff>
    </xdr:to>
    <xdr:pic>
      <xdr:nvPicPr>
        <xdr:cNvPr id="1516" name="Imagen 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7250" y="10525125"/>
          <a:ext cx="885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11</xdr:row>
      <xdr:rowOff>133350</xdr:rowOff>
    </xdr:from>
    <xdr:to>
      <xdr:col>1</xdr:col>
      <xdr:colOff>1019175</xdr:colOff>
      <xdr:row>11</xdr:row>
      <xdr:rowOff>1057275</xdr:rowOff>
    </xdr:to>
    <xdr:pic>
      <xdr:nvPicPr>
        <xdr:cNvPr id="1517" name="Imagen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5825" y="11734800"/>
          <a:ext cx="8953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12</xdr:row>
      <xdr:rowOff>209550</xdr:rowOff>
    </xdr:from>
    <xdr:to>
      <xdr:col>1</xdr:col>
      <xdr:colOff>1085850</xdr:colOff>
      <xdr:row>12</xdr:row>
      <xdr:rowOff>1038225</xdr:rowOff>
    </xdr:to>
    <xdr:pic>
      <xdr:nvPicPr>
        <xdr:cNvPr id="1518" name="Imagen 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 y="12954000"/>
          <a:ext cx="1009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11</xdr:row>
      <xdr:rowOff>66675</xdr:rowOff>
    </xdr:from>
    <xdr:to>
      <xdr:col>2</xdr:col>
      <xdr:colOff>1047750</xdr:colOff>
      <xdr:row>11</xdr:row>
      <xdr:rowOff>1000125</xdr:rowOff>
    </xdr:to>
    <xdr:pic>
      <xdr:nvPicPr>
        <xdr:cNvPr id="1519" name="Imagen 1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62150" y="116681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xdr:row>
      <xdr:rowOff>104775</xdr:rowOff>
    </xdr:from>
    <xdr:to>
      <xdr:col>2</xdr:col>
      <xdr:colOff>1038225</xdr:colOff>
      <xdr:row>9</xdr:row>
      <xdr:rowOff>1066800</xdr:rowOff>
    </xdr:to>
    <xdr:pic>
      <xdr:nvPicPr>
        <xdr:cNvPr id="1520" name="Imagen 1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14525" y="942022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xdr:row>
      <xdr:rowOff>114300</xdr:rowOff>
    </xdr:from>
    <xdr:to>
      <xdr:col>2</xdr:col>
      <xdr:colOff>1028700</xdr:colOff>
      <xdr:row>2</xdr:row>
      <xdr:rowOff>1000125</xdr:rowOff>
    </xdr:to>
    <xdr:pic>
      <xdr:nvPicPr>
        <xdr:cNvPr id="1521" name="Imagen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90725" y="1428750"/>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xdr:row>
      <xdr:rowOff>85725</xdr:rowOff>
    </xdr:from>
    <xdr:to>
      <xdr:col>2</xdr:col>
      <xdr:colOff>1047750</xdr:colOff>
      <xdr:row>5</xdr:row>
      <xdr:rowOff>1104900</xdr:rowOff>
    </xdr:to>
    <xdr:pic>
      <xdr:nvPicPr>
        <xdr:cNvPr id="1522" name="Imagen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43100" y="4829175"/>
          <a:ext cx="981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xdr:row>
      <xdr:rowOff>85725</xdr:rowOff>
    </xdr:from>
    <xdr:to>
      <xdr:col>2</xdr:col>
      <xdr:colOff>1019175</xdr:colOff>
      <xdr:row>1</xdr:row>
      <xdr:rowOff>1104900</xdr:rowOff>
    </xdr:to>
    <xdr:pic>
      <xdr:nvPicPr>
        <xdr:cNvPr id="1523" name="Imagen 2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90725" y="257175"/>
          <a:ext cx="9048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10</xdr:row>
      <xdr:rowOff>57150</xdr:rowOff>
    </xdr:from>
    <xdr:to>
      <xdr:col>2</xdr:col>
      <xdr:colOff>990600</xdr:colOff>
      <xdr:row>10</xdr:row>
      <xdr:rowOff>1076325</xdr:rowOff>
    </xdr:to>
    <xdr:pic>
      <xdr:nvPicPr>
        <xdr:cNvPr id="1524" name="Imagen 2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1200" y="10515600"/>
          <a:ext cx="885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xdr:row>
      <xdr:rowOff>171450</xdr:rowOff>
    </xdr:from>
    <xdr:to>
      <xdr:col>2</xdr:col>
      <xdr:colOff>1095375</xdr:colOff>
      <xdr:row>8</xdr:row>
      <xdr:rowOff>1047750</xdr:rowOff>
    </xdr:to>
    <xdr:pic>
      <xdr:nvPicPr>
        <xdr:cNvPr id="1525" name="Imagen 2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24050" y="8343900"/>
          <a:ext cx="1047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xdr:row>
      <xdr:rowOff>190500</xdr:rowOff>
    </xdr:from>
    <xdr:to>
      <xdr:col>2</xdr:col>
      <xdr:colOff>1019175</xdr:colOff>
      <xdr:row>6</xdr:row>
      <xdr:rowOff>990600</xdr:rowOff>
    </xdr:to>
    <xdr:pic>
      <xdr:nvPicPr>
        <xdr:cNvPr id="1526" name="Imagen 2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43100" y="6076950"/>
          <a:ext cx="952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7</xdr:row>
      <xdr:rowOff>47625</xdr:rowOff>
    </xdr:from>
    <xdr:to>
      <xdr:col>2</xdr:col>
      <xdr:colOff>1066800</xdr:colOff>
      <xdr:row>7</xdr:row>
      <xdr:rowOff>1095375</xdr:rowOff>
    </xdr:to>
    <xdr:pic>
      <xdr:nvPicPr>
        <xdr:cNvPr id="1527" name="Imagen 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62150" y="7077075"/>
          <a:ext cx="9810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xdr:row>
      <xdr:rowOff>152400</xdr:rowOff>
    </xdr:from>
    <xdr:to>
      <xdr:col>2</xdr:col>
      <xdr:colOff>981075</xdr:colOff>
      <xdr:row>4</xdr:row>
      <xdr:rowOff>1057275</xdr:rowOff>
    </xdr:to>
    <xdr:pic>
      <xdr:nvPicPr>
        <xdr:cNvPr id="1528" name="Imagen 2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43100" y="375285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xdr:row>
      <xdr:rowOff>76200</xdr:rowOff>
    </xdr:from>
    <xdr:to>
      <xdr:col>2</xdr:col>
      <xdr:colOff>1076325</xdr:colOff>
      <xdr:row>3</xdr:row>
      <xdr:rowOff>1066800</xdr:rowOff>
    </xdr:to>
    <xdr:pic>
      <xdr:nvPicPr>
        <xdr:cNvPr id="1529" name="Imagen 2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24050" y="2533650"/>
          <a:ext cx="1028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12</xdr:row>
      <xdr:rowOff>133350</xdr:rowOff>
    </xdr:from>
    <xdr:to>
      <xdr:col>2</xdr:col>
      <xdr:colOff>1066800</xdr:colOff>
      <xdr:row>12</xdr:row>
      <xdr:rowOff>1028700</xdr:rowOff>
    </xdr:to>
    <xdr:pic>
      <xdr:nvPicPr>
        <xdr:cNvPr id="1530" name="Imagen 3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5" y="12877800"/>
          <a:ext cx="990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181"/>
  <sheetViews>
    <sheetView showGridLines="0" tabSelected="1" topLeftCell="A13" zoomScale="122" zoomScaleNormal="122" workbookViewId="0">
      <selection activeCell="D10" sqref="D10"/>
    </sheetView>
  </sheetViews>
  <sheetFormatPr baseColWidth="10" defaultRowHeight="12.75"/>
  <cols>
    <col min="1" max="1" width="4.7109375" customWidth="1"/>
    <col min="2" max="2" width="3" customWidth="1"/>
    <col min="3" max="36" width="4.7109375" customWidth="1"/>
    <col min="37" max="37" width="4" customWidth="1"/>
    <col min="38" max="38" width="6" bestFit="1" customWidth="1"/>
    <col min="39" max="47" width="4" customWidth="1"/>
    <col min="51" max="52" width="13.42578125" bestFit="1" customWidth="1"/>
    <col min="53" max="53" width="15.28515625" bestFit="1" customWidth="1"/>
  </cols>
  <sheetData>
    <row r="1" spans="1:53" ht="13.5" thickBot="1">
      <c r="AY1" s="232" t="s">
        <v>512</v>
      </c>
      <c r="AZ1" s="232" t="s">
        <v>513</v>
      </c>
      <c r="BA1" s="232" t="s">
        <v>514</v>
      </c>
    </row>
    <row r="2" spans="1:53" ht="13.5" customHeight="1" thickBot="1">
      <c r="AC2" s="418" t="s">
        <v>72</v>
      </c>
      <c r="AD2" s="419"/>
      <c r="AE2" s="419"/>
      <c r="AF2" s="419"/>
      <c r="AG2" s="419"/>
      <c r="AH2" s="419"/>
      <c r="AI2" s="420"/>
      <c r="AJ2" s="528" t="s">
        <v>519</v>
      </c>
      <c r="AK2" s="528"/>
      <c r="AL2" s="528"/>
      <c r="AV2" s="230">
        <f>+C7</f>
        <v>19</v>
      </c>
      <c r="AW2" s="230">
        <v>1</v>
      </c>
      <c r="AX2" s="231">
        <f t="shared" ref="AX2:AX35" ca="1" si="0">($C$9+AW2)</f>
        <v>27329</v>
      </c>
      <c r="AY2">
        <f t="shared" ref="AY2:AY35" ca="1" si="1">SIN(2*PI()*AX2/23)</f>
        <v>0.97908408768236199</v>
      </c>
      <c r="AZ2">
        <f t="shared" ref="AZ2:AZ35" ca="1" si="2">SIN(2*PI()*AX2/28)</f>
        <v>0.22252093395596176</v>
      </c>
      <c r="BA2">
        <f t="shared" ref="BA2:BA35" ca="1" si="3">SIN(2*PI()*AX2/33)</f>
        <v>0.81457595205023758</v>
      </c>
    </row>
    <row r="3" spans="1:53" ht="24" customHeight="1" thickBot="1">
      <c r="B3" s="1"/>
      <c r="C3" s="448" t="s">
        <v>89</v>
      </c>
      <c r="D3" s="449"/>
      <c r="E3" s="449"/>
      <c r="F3" s="449"/>
      <c r="G3" s="449"/>
      <c r="H3" s="449"/>
      <c r="I3" s="449"/>
      <c r="J3" s="449"/>
      <c r="K3" s="449"/>
      <c r="L3" s="449"/>
      <c r="M3" s="449"/>
      <c r="N3" s="449"/>
      <c r="O3" s="450"/>
      <c r="Q3" s="112"/>
      <c r="R3" s="113"/>
      <c r="S3" s="113"/>
      <c r="T3" s="113"/>
      <c r="U3" s="113"/>
      <c r="V3" s="113"/>
      <c r="W3" s="113"/>
      <c r="X3" s="113"/>
      <c r="Y3" s="113"/>
      <c r="Z3" s="113"/>
      <c r="AA3" s="114"/>
      <c r="AC3" s="421"/>
      <c r="AD3" s="422"/>
      <c r="AE3" s="422"/>
      <c r="AF3" s="422"/>
      <c r="AG3" s="422"/>
      <c r="AH3" s="422"/>
      <c r="AI3" s="423"/>
      <c r="AJ3" s="529"/>
      <c r="AK3" s="529"/>
      <c r="AL3" s="529"/>
      <c r="AV3" s="230">
        <f>+AV2+1</f>
        <v>20</v>
      </c>
      <c r="AW3" s="230">
        <f>+AW2+1</f>
        <v>2</v>
      </c>
      <c r="AX3" s="231">
        <f t="shared" ca="1" si="0"/>
        <v>27330</v>
      </c>
      <c r="AY3">
        <f t="shared" ca="1" si="1"/>
        <v>0.99766876919058345</v>
      </c>
      <c r="AZ3">
        <f t="shared" ca="1" si="2"/>
        <v>0.43388373911701933</v>
      </c>
      <c r="BA3">
        <f t="shared" ca="1" si="3"/>
        <v>0.90963199535433048</v>
      </c>
    </row>
    <row r="4" spans="1:53" ht="24" customHeight="1" thickBot="1">
      <c r="B4" s="1"/>
      <c r="C4" s="451" t="s">
        <v>523</v>
      </c>
      <c r="D4" s="452"/>
      <c r="E4" s="452"/>
      <c r="F4" s="452"/>
      <c r="G4" s="452"/>
      <c r="H4" s="452"/>
      <c r="I4" s="452"/>
      <c r="J4" s="452"/>
      <c r="K4" s="452"/>
      <c r="L4" s="452"/>
      <c r="M4" s="452"/>
      <c r="N4" s="452"/>
      <c r="O4" s="453"/>
      <c r="Q4" s="115"/>
      <c r="R4" s="457" t="s">
        <v>179</v>
      </c>
      <c r="S4" s="457"/>
      <c r="T4" s="457"/>
      <c r="U4" s="457"/>
      <c r="V4" s="457"/>
      <c r="W4" s="457"/>
      <c r="X4" s="457"/>
      <c r="Y4" s="457"/>
      <c r="Z4" s="457"/>
      <c r="AA4" s="116"/>
      <c r="AC4" s="10"/>
      <c r="AD4" s="47" t="s">
        <v>97</v>
      </c>
      <c r="AE4" s="48" t="s">
        <v>98</v>
      </c>
      <c r="AF4" s="276" t="s">
        <v>99</v>
      </c>
      <c r="AG4" s="48" t="s">
        <v>100</v>
      </c>
      <c r="AH4" s="49" t="s">
        <v>101</v>
      </c>
      <c r="AI4" s="13"/>
      <c r="AJ4" s="303">
        <v>2</v>
      </c>
      <c r="AK4" s="304">
        <v>1</v>
      </c>
      <c r="AL4" s="304">
        <v>1987</v>
      </c>
      <c r="AV4" s="230">
        <f t="shared" ref="AV4:AV10" si="4">+AV3+1</f>
        <v>21</v>
      </c>
      <c r="AW4" s="230">
        <f t="shared" ref="AW4:AW35" si="5">+AW3+1</f>
        <v>3</v>
      </c>
      <c r="AX4" s="231">
        <f t="shared" ca="1" si="0"/>
        <v>27331</v>
      </c>
      <c r="AY4">
        <f t="shared" ca="1" si="1"/>
        <v>0.94226092211871038</v>
      </c>
      <c r="AZ4">
        <f t="shared" ca="1" si="2"/>
        <v>0.62348980185879233</v>
      </c>
      <c r="BA4">
        <f t="shared" ca="1" si="3"/>
        <v>0.97181156832358273</v>
      </c>
    </row>
    <row r="5" spans="1:53" ht="23.25" customHeight="1">
      <c r="B5" s="1"/>
      <c r="C5" s="454" t="s">
        <v>90</v>
      </c>
      <c r="D5" s="455"/>
      <c r="E5" s="455"/>
      <c r="F5" s="455"/>
      <c r="G5" s="455"/>
      <c r="H5" s="455"/>
      <c r="I5" s="455"/>
      <c r="J5" s="455"/>
      <c r="K5" s="455"/>
      <c r="L5" s="455"/>
      <c r="M5" s="455"/>
      <c r="N5" s="455"/>
      <c r="O5" s="456"/>
      <c r="Q5" s="115"/>
      <c r="R5" s="394" t="str">
        <f>IF(C7="","",CONCATENATE(LOOKUP(C8,Horóscopo!K4:L135,Horóscopo!A4:A135)," de ",LOOKUP(C8,Horóscopo!K4:L135,Horóscopo!H4:H135)))</f>
        <v>Jabalí de Fuego</v>
      </c>
      <c r="S5" s="394"/>
      <c r="T5" s="394"/>
      <c r="U5" s="394"/>
      <c r="V5" s="394"/>
      <c r="W5" s="394"/>
      <c r="X5" s="394"/>
      <c r="Y5" s="394"/>
      <c r="Z5" s="394"/>
      <c r="AA5" s="116"/>
      <c r="AC5" s="10"/>
      <c r="AD5" s="50" t="s">
        <v>102</v>
      </c>
      <c r="AE5" s="279">
        <v>4</v>
      </c>
      <c r="AF5" s="277">
        <v>9</v>
      </c>
      <c r="AG5" s="53">
        <v>2</v>
      </c>
      <c r="AH5" s="54" t="s">
        <v>103</v>
      </c>
      <c r="AI5" s="13"/>
      <c r="AJ5" s="530" t="s">
        <v>214</v>
      </c>
      <c r="AK5" s="531"/>
      <c r="AL5" s="531"/>
      <c r="AV5" s="230">
        <f t="shared" si="4"/>
        <v>22</v>
      </c>
      <c r="AW5" s="230">
        <f t="shared" si="5"/>
        <v>4</v>
      </c>
      <c r="AX5" s="231">
        <f t="shared" ca="1" si="0"/>
        <v>27332</v>
      </c>
      <c r="AY5">
        <f t="shared" ca="1" si="1"/>
        <v>0.81696989301073752</v>
      </c>
      <c r="AZ5">
        <f t="shared" ca="1" si="2"/>
        <v>0.78183148246792944</v>
      </c>
      <c r="BA5">
        <f t="shared" ca="1" si="3"/>
        <v>0.99886733918300274</v>
      </c>
    </row>
    <row r="6" spans="1:53" ht="32.25" customHeight="1" thickBot="1">
      <c r="B6" s="2"/>
      <c r="C6" s="363" t="s">
        <v>508</v>
      </c>
      <c r="D6" s="364"/>
      <c r="E6" s="368" t="s">
        <v>509</v>
      </c>
      <c r="F6" s="369"/>
      <c r="G6" s="364"/>
      <c r="H6" s="368" t="s">
        <v>510</v>
      </c>
      <c r="I6" s="369"/>
      <c r="J6" s="369"/>
      <c r="K6" s="364"/>
      <c r="L6" s="368" t="s">
        <v>511</v>
      </c>
      <c r="M6" s="369"/>
      <c r="N6" s="369"/>
      <c r="O6" s="458"/>
      <c r="Q6" s="115"/>
      <c r="R6" s="362" t="s">
        <v>250</v>
      </c>
      <c r="S6" s="362"/>
      <c r="T6" s="362"/>
      <c r="U6" s="362"/>
      <c r="V6" s="362"/>
      <c r="W6" s="362"/>
      <c r="X6" s="362"/>
      <c r="Y6" s="362"/>
      <c r="Z6" s="362"/>
      <c r="AA6" s="116"/>
      <c r="AC6" s="10"/>
      <c r="AD6" s="55" t="s">
        <v>104</v>
      </c>
      <c r="AE6" s="56">
        <v>3</v>
      </c>
      <c r="AF6" s="278">
        <v>5</v>
      </c>
      <c r="AG6" s="57">
        <v>7</v>
      </c>
      <c r="AH6" s="58" t="s">
        <v>105</v>
      </c>
      <c r="AI6" s="13"/>
      <c r="AJ6" s="350"/>
      <c r="AK6" s="351"/>
      <c r="AL6" s="351"/>
      <c r="AO6" s="128"/>
      <c r="AP6" s="3"/>
      <c r="AQ6" s="3"/>
      <c r="AR6" s="3"/>
      <c r="AS6" s="3"/>
      <c r="AT6" s="3"/>
      <c r="AU6" s="3"/>
      <c r="AV6" s="230">
        <f t="shared" si="4"/>
        <v>23</v>
      </c>
      <c r="AW6" s="230">
        <f t="shared" si="5"/>
        <v>5</v>
      </c>
      <c r="AX6" s="231">
        <f t="shared" ca="1" si="0"/>
        <v>27333</v>
      </c>
      <c r="AY6">
        <f t="shared" ca="1" si="1"/>
        <v>0.63108794432639725</v>
      </c>
      <c r="AZ6">
        <f t="shared" ca="1" si="2"/>
        <v>0.90096886790224673</v>
      </c>
      <c r="BA6">
        <f t="shared" ca="1" si="3"/>
        <v>0.98982144188098853</v>
      </c>
    </row>
    <row r="7" spans="1:53" ht="24" customHeight="1" thickBot="1">
      <c r="B7" s="4"/>
      <c r="C7" s="459">
        <v>19</v>
      </c>
      <c r="D7" s="460"/>
      <c r="E7" s="461">
        <v>12</v>
      </c>
      <c r="F7" s="462"/>
      <c r="G7" s="463"/>
      <c r="H7" s="464">
        <v>1947</v>
      </c>
      <c r="I7" s="465"/>
      <c r="J7" s="465"/>
      <c r="K7" s="460"/>
      <c r="L7" s="359">
        <v>8.3333333333333329E-2</v>
      </c>
      <c r="M7" s="360"/>
      <c r="N7" s="360"/>
      <c r="O7" s="361"/>
      <c r="Q7" s="115"/>
      <c r="R7" s="394" t="str">
        <f>VLOOKUP(L7,Ascendente!A2:C15,3)</f>
        <v>Búfalo</v>
      </c>
      <c r="S7" s="394"/>
      <c r="T7" s="394"/>
      <c r="U7" s="394"/>
      <c r="V7" s="394"/>
      <c r="W7" s="394"/>
      <c r="X7" s="394"/>
      <c r="Y7" s="394"/>
      <c r="Z7" s="394"/>
      <c r="AA7" s="116"/>
      <c r="AC7" s="10"/>
      <c r="AD7" s="50" t="s">
        <v>106</v>
      </c>
      <c r="AE7" s="59">
        <v>8</v>
      </c>
      <c r="AF7" s="274">
        <v>1</v>
      </c>
      <c r="AG7" s="60">
        <v>6</v>
      </c>
      <c r="AH7" s="54" t="s">
        <v>107</v>
      </c>
      <c r="AI7" s="14"/>
      <c r="AJ7" s="300" t="s">
        <v>215</v>
      </c>
      <c r="AK7" s="411">
        <f>IF(VALUE(MID(FIXED(AL4,0,TRUE),1,1))+VALUE(MID(FIXED(AL4,0,TRUE),2,1))+VALUE(MID(FIXED(AL4,0,TRUE),3,1))+VALUE(MID(FIXED(AL4,0,TRUE),4,1))&gt;10,11-(VALUE(MID((VALUE(MID(FIXED(AL4,0,TRUE),1,1))+VALUE(MID(FIXED(AL4,0,TRUE),2,1))+VALUE(MID(FIXED(AL4,0,TRUE),3,1))+VALUE(MID(FIXED(AL4,0,TRUE),4,1))),1,1))+VALUE(MID((VALUE(MID(FIXED(AL4,0,TRUE),1,1))+VALUE(MID(FIXED(AL4,0,TRUE),2,1))+VALUE(MID(FIXED(AL4,0,TRUE),3,1))+VALUE(MID(FIXED(AL4,0,TRUE),4,1))),2,1))),11-(VALUE(MID(FIXED(AL4,0,TRUE),1,1))+VALUE(MID(FIXED(AL4,0,TRUE),2,1))+VALUE(MID(FIXED(AL4,0,TRUE),3,1))+VALUE(MID(FIXED(AL4,0,TRUE),4,1))))</f>
        <v>4</v>
      </c>
      <c r="AL7" s="412"/>
      <c r="AO7" s="129"/>
      <c r="AP7" s="5"/>
      <c r="AQ7" s="5"/>
      <c r="AR7" s="5"/>
      <c r="AS7" s="5"/>
      <c r="AT7" s="5"/>
      <c r="AU7" s="5"/>
      <c r="AV7" s="230">
        <f t="shared" si="4"/>
        <v>24</v>
      </c>
      <c r="AW7" s="230">
        <f t="shared" si="5"/>
        <v>6</v>
      </c>
      <c r="AX7" s="231">
        <f t="shared" ca="1" si="0"/>
        <v>27334</v>
      </c>
      <c r="AY7">
        <f t="shared" ca="1" si="1"/>
        <v>0.39840108984575201</v>
      </c>
      <c r="AZ7">
        <f t="shared" ca="1" si="2"/>
        <v>0.97492791218188501</v>
      </c>
      <c r="BA7">
        <f t="shared" ca="1" si="3"/>
        <v>0.94500081871459196</v>
      </c>
    </row>
    <row r="8" spans="1:53" ht="21" customHeight="1" thickBot="1">
      <c r="B8" s="4"/>
      <c r="C8" s="479">
        <f>DATE(H7,E7,C7)</f>
        <v>17520</v>
      </c>
      <c r="D8" s="467"/>
      <c r="E8" s="467"/>
      <c r="F8" s="468"/>
      <c r="G8" s="466">
        <f ca="1">DATE(YEAR(TODAY()),E7,C7)</f>
        <v>44914</v>
      </c>
      <c r="H8" s="467"/>
      <c r="I8" s="467"/>
      <c r="J8" s="467"/>
      <c r="K8" s="468"/>
      <c r="L8" s="466">
        <f ca="1">TODAY()</f>
        <v>44848</v>
      </c>
      <c r="M8" s="467"/>
      <c r="N8" s="467"/>
      <c r="O8" s="469"/>
      <c r="Q8" s="117"/>
      <c r="R8" s="118"/>
      <c r="S8" s="118"/>
      <c r="T8" s="118"/>
      <c r="U8" s="118"/>
      <c r="V8" s="118"/>
      <c r="W8" s="118"/>
      <c r="X8" s="118"/>
      <c r="Y8" s="118"/>
      <c r="Z8" s="118"/>
      <c r="AA8" s="119"/>
      <c r="AC8" s="10"/>
      <c r="AD8" s="61" t="s">
        <v>108</v>
      </c>
      <c r="AE8" s="62" t="s">
        <v>109</v>
      </c>
      <c r="AF8" s="275" t="s">
        <v>110</v>
      </c>
      <c r="AG8" s="62" t="s">
        <v>111</v>
      </c>
      <c r="AH8" s="63" t="s">
        <v>112</v>
      </c>
      <c r="AI8" s="14"/>
      <c r="AJ8" s="301" t="s">
        <v>216</v>
      </c>
      <c r="AK8" s="413">
        <f ca="1">+'Cálculo de 2a. Estrella'!Q25</f>
        <v>7</v>
      </c>
      <c r="AL8" s="414"/>
      <c r="AO8" s="5"/>
      <c r="AP8" s="129"/>
      <c r="AQ8" s="5"/>
      <c r="AR8" s="5"/>
      <c r="AS8" s="5"/>
      <c r="AT8" s="5"/>
      <c r="AU8" s="5"/>
      <c r="AV8" s="230">
        <f t="shared" si="4"/>
        <v>25</v>
      </c>
      <c r="AW8" s="230">
        <f t="shared" si="5"/>
        <v>7</v>
      </c>
      <c r="AX8" s="231">
        <f t="shared" ca="1" si="0"/>
        <v>27335</v>
      </c>
      <c r="AY8">
        <f t="shared" ca="1" si="1"/>
        <v>0.13616664909655132</v>
      </c>
      <c r="AZ8">
        <f t="shared" ca="1" si="2"/>
        <v>1</v>
      </c>
      <c r="BA8">
        <f t="shared" ca="1" si="3"/>
        <v>0.86602540378446313</v>
      </c>
    </row>
    <row r="9" spans="1:53" ht="20.25" customHeight="1" thickBot="1">
      <c r="B9" s="6"/>
      <c r="C9" s="478">
        <f ca="1">_xlfn.DAYS(TODAY(),C8)</f>
        <v>27328</v>
      </c>
      <c r="D9" s="478"/>
      <c r="E9" s="410"/>
      <c r="F9" s="410"/>
      <c r="G9" s="410"/>
      <c r="H9" s="410"/>
      <c r="I9" s="477"/>
      <c r="J9" s="477"/>
      <c r="K9" s="477"/>
      <c r="L9" s="410"/>
      <c r="M9" s="477"/>
      <c r="N9" s="477"/>
      <c r="O9" s="477"/>
      <c r="AC9" s="15"/>
      <c r="AD9" s="16"/>
      <c r="AE9" s="16"/>
      <c r="AF9" s="16"/>
      <c r="AG9" s="16"/>
      <c r="AH9" s="16"/>
      <c r="AI9" s="16"/>
      <c r="AJ9" s="302" t="s">
        <v>217</v>
      </c>
      <c r="AK9" s="415">
        <f ca="1">IF(AND(AK8&gt;5,AK7&gt;5),AK7-(AK8-5),IF(AND(AK7&lt;5,AK8&gt;5),AK7+(AK8-5),IF(AND(AK7&gt;5,AK8&lt;5),AK7-(5-AK8),AK7+(5-AK8))))</f>
        <v>6</v>
      </c>
      <c r="AL9" s="416"/>
      <c r="AV9" s="230">
        <f t="shared" si="4"/>
        <v>26</v>
      </c>
      <c r="AW9" s="230">
        <f t="shared" si="5"/>
        <v>8</v>
      </c>
      <c r="AX9" s="231">
        <f t="shared" ca="1" si="0"/>
        <v>27336</v>
      </c>
      <c r="AY9">
        <f t="shared" ca="1" si="1"/>
        <v>-0.13616664909510848</v>
      </c>
      <c r="AZ9">
        <f t="shared" ca="1" si="2"/>
        <v>0.97492791218186736</v>
      </c>
      <c r="BA9">
        <f t="shared" ca="1" si="3"/>
        <v>0.75574957435447576</v>
      </c>
    </row>
    <row r="10" spans="1:53" ht="90" customHeight="1" thickBot="1">
      <c r="B10" s="6"/>
      <c r="P10" s="214" t="str">
        <f>+R5</f>
        <v>Jabalí de Fuego</v>
      </c>
      <c r="Q10" s="417"/>
      <c r="R10" s="417"/>
      <c r="S10" s="417"/>
      <c r="T10" s="417"/>
      <c r="U10" s="417"/>
      <c r="V10" s="476" t="str">
        <f>+R6</f>
        <v>Ascendente o Compañero de Ruta</v>
      </c>
      <c r="W10" s="476"/>
      <c r="X10" s="476"/>
      <c r="Y10" s="417"/>
      <c r="Z10" s="417"/>
      <c r="AA10" s="417"/>
      <c r="AC10" s="46"/>
      <c r="AD10" s="46"/>
      <c r="AE10" s="46"/>
      <c r="AF10" s="46"/>
      <c r="AG10" s="46"/>
      <c r="AH10" s="46"/>
      <c r="AI10" s="46"/>
      <c r="AK10" s="213" t="str">
        <f>UPPER(LOOKUP(C8,Horóscopo!K4:L123,Horóscopo!A4:A123))</f>
        <v>JABALÍ</v>
      </c>
      <c r="AV10" s="230">
        <f t="shared" si="4"/>
        <v>27</v>
      </c>
      <c r="AW10" s="230">
        <f t="shared" si="5"/>
        <v>9</v>
      </c>
      <c r="AX10" s="231">
        <f t="shared" ca="1" si="0"/>
        <v>27337</v>
      </c>
      <c r="AY10">
        <f t="shared" ca="1" si="1"/>
        <v>-0.39840108984608458</v>
      </c>
      <c r="AZ10">
        <f t="shared" ca="1" si="2"/>
        <v>0.90096886790221231</v>
      </c>
      <c r="BA10">
        <f t="shared" ca="1" si="3"/>
        <v>0.61815898622037402</v>
      </c>
    </row>
    <row r="11" spans="1:53" ht="13.5" thickBot="1">
      <c r="A11" s="37"/>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43"/>
      <c r="AV11" s="230">
        <v>1</v>
      </c>
      <c r="AW11" s="230">
        <f t="shared" si="5"/>
        <v>10</v>
      </c>
      <c r="AX11" s="231">
        <f t="shared" ca="1" si="0"/>
        <v>27338</v>
      </c>
      <c r="AY11">
        <f t="shared" ca="1" si="1"/>
        <v>-0.63108794432597304</v>
      </c>
      <c r="AZ11">
        <f t="shared" ca="1" si="2"/>
        <v>0.78183148246844703</v>
      </c>
      <c r="BA11">
        <f t="shared" ca="1" si="3"/>
        <v>0.45822652172740058</v>
      </c>
    </row>
    <row r="12" spans="1:53" ht="12.75" customHeight="1">
      <c r="A12" s="39"/>
      <c r="B12" s="40"/>
      <c r="C12" s="40"/>
      <c r="D12" s="347" t="s">
        <v>94</v>
      </c>
      <c r="E12" s="348"/>
      <c r="F12" s="348"/>
      <c r="G12" s="348"/>
      <c r="H12" s="348"/>
      <c r="I12" s="348"/>
      <c r="J12" s="348"/>
      <c r="K12" s="349"/>
      <c r="L12" s="40"/>
      <c r="M12" s="40"/>
      <c r="N12" s="40"/>
      <c r="O12" s="40"/>
      <c r="P12" s="347" t="s">
        <v>95</v>
      </c>
      <c r="Q12" s="432"/>
      <c r="R12" s="432"/>
      <c r="S12" s="432"/>
      <c r="T12" s="432"/>
      <c r="U12" s="432"/>
      <c r="V12" s="432"/>
      <c r="W12" s="433"/>
      <c r="X12" s="40"/>
      <c r="Y12" s="40"/>
      <c r="Z12" s="40"/>
      <c r="AA12" s="40"/>
      <c r="AB12" s="347" t="s">
        <v>96</v>
      </c>
      <c r="AC12" s="348"/>
      <c r="AD12" s="348"/>
      <c r="AE12" s="348"/>
      <c r="AF12" s="348"/>
      <c r="AG12" s="348"/>
      <c r="AH12" s="348"/>
      <c r="AI12" s="349"/>
      <c r="AJ12" s="40"/>
      <c r="AK12" s="40"/>
      <c r="AL12" s="40"/>
      <c r="AM12" s="44"/>
      <c r="AV12" s="230">
        <f>+AV11+1</f>
        <v>2</v>
      </c>
      <c r="AW12" s="230">
        <f t="shared" si="5"/>
        <v>11</v>
      </c>
      <c r="AX12" s="231">
        <f t="shared" ca="1" si="0"/>
        <v>27339</v>
      </c>
      <c r="AY12">
        <f t="shared" ca="1" si="1"/>
        <v>-0.81696989300989764</v>
      </c>
      <c r="AZ12">
        <f t="shared" ca="1" si="2"/>
        <v>0.62348980185944136</v>
      </c>
      <c r="BA12">
        <f t="shared" ca="1" si="3"/>
        <v>0.2817325568416908</v>
      </c>
    </row>
    <row r="13" spans="1:53">
      <c r="A13" s="39"/>
      <c r="B13" s="40"/>
      <c r="C13" s="40"/>
      <c r="D13" s="350"/>
      <c r="E13" s="351"/>
      <c r="F13" s="351"/>
      <c r="G13" s="351"/>
      <c r="H13" s="351"/>
      <c r="I13" s="351"/>
      <c r="J13" s="351"/>
      <c r="K13" s="352"/>
      <c r="L13" s="40"/>
      <c r="M13" s="40"/>
      <c r="N13" s="40"/>
      <c r="O13" s="40"/>
      <c r="P13" s="434"/>
      <c r="Q13" s="435"/>
      <c r="R13" s="435"/>
      <c r="S13" s="435"/>
      <c r="T13" s="435"/>
      <c r="U13" s="435"/>
      <c r="V13" s="435"/>
      <c r="W13" s="436"/>
      <c r="X13" s="40"/>
      <c r="Y13" s="40"/>
      <c r="Z13" s="40"/>
      <c r="AA13" s="40"/>
      <c r="AB13" s="350"/>
      <c r="AC13" s="351"/>
      <c r="AD13" s="351"/>
      <c r="AE13" s="351"/>
      <c r="AF13" s="351"/>
      <c r="AG13" s="351"/>
      <c r="AH13" s="351"/>
      <c r="AI13" s="352"/>
      <c r="AJ13" s="40"/>
      <c r="AK13" s="40"/>
      <c r="AL13" s="40"/>
      <c r="AM13" s="44"/>
      <c r="AV13" s="230">
        <f t="shared" ref="AV13:AV35" si="6">+AV12+1</f>
        <v>3</v>
      </c>
      <c r="AW13" s="230">
        <f t="shared" si="5"/>
        <v>12</v>
      </c>
      <c r="AX13" s="231">
        <f t="shared" ca="1" si="0"/>
        <v>27340</v>
      </c>
      <c r="AY13">
        <f t="shared" ca="1" si="1"/>
        <v>-0.94226092211883183</v>
      </c>
      <c r="AZ13">
        <f t="shared" ca="1" si="2"/>
        <v>0.43388373911776729</v>
      </c>
      <c r="BA13">
        <f t="shared" ca="1" si="3"/>
        <v>9.5056043303830037E-2</v>
      </c>
    </row>
    <row r="14" spans="1:53">
      <c r="A14" s="39"/>
      <c r="B14" s="40"/>
      <c r="C14" s="40"/>
      <c r="D14" s="350"/>
      <c r="E14" s="351"/>
      <c r="F14" s="351"/>
      <c r="G14" s="351"/>
      <c r="H14" s="351"/>
      <c r="I14" s="351"/>
      <c r="J14" s="351"/>
      <c r="K14" s="352"/>
      <c r="L14" s="40"/>
      <c r="M14" s="40"/>
      <c r="N14" s="40"/>
      <c r="O14" s="40"/>
      <c r="P14" s="434"/>
      <c r="Q14" s="435"/>
      <c r="R14" s="435"/>
      <c r="S14" s="435"/>
      <c r="T14" s="435"/>
      <c r="U14" s="435"/>
      <c r="V14" s="435"/>
      <c r="W14" s="436"/>
      <c r="X14" s="40"/>
      <c r="Y14" s="40"/>
      <c r="Z14" s="40"/>
      <c r="AA14" s="40"/>
      <c r="AB14" s="350"/>
      <c r="AC14" s="351"/>
      <c r="AD14" s="351"/>
      <c r="AE14" s="351"/>
      <c r="AF14" s="351"/>
      <c r="AG14" s="351"/>
      <c r="AH14" s="351"/>
      <c r="AI14" s="352"/>
      <c r="AJ14" s="40"/>
      <c r="AK14" s="40"/>
      <c r="AL14" s="40"/>
      <c r="AM14" s="44"/>
      <c r="AV14" s="230">
        <f t="shared" si="6"/>
        <v>4</v>
      </c>
      <c r="AW14" s="230">
        <f t="shared" si="5"/>
        <v>13</v>
      </c>
      <c r="AX14" s="231">
        <f t="shared" ca="1" si="0"/>
        <v>27341</v>
      </c>
      <c r="AY14">
        <f t="shared" ca="1" si="1"/>
        <v>-0.99766876919048408</v>
      </c>
      <c r="AZ14">
        <f t="shared" ca="1" si="2"/>
        <v>0.22252093395677108</v>
      </c>
      <c r="BA14">
        <f t="shared" ca="1" si="3"/>
        <v>-9.5056043304253435E-2</v>
      </c>
    </row>
    <row r="15" spans="1:53">
      <c r="A15" s="39"/>
      <c r="B15" s="40"/>
      <c r="C15" s="40"/>
      <c r="D15" s="350"/>
      <c r="E15" s="351"/>
      <c r="F15" s="351"/>
      <c r="G15" s="351"/>
      <c r="H15" s="351"/>
      <c r="I15" s="351"/>
      <c r="J15" s="351"/>
      <c r="K15" s="352"/>
      <c r="L15" s="40"/>
      <c r="M15" s="40"/>
      <c r="N15" s="40"/>
      <c r="O15" s="40"/>
      <c r="P15" s="434"/>
      <c r="Q15" s="435"/>
      <c r="R15" s="435"/>
      <c r="S15" s="435"/>
      <c r="T15" s="435"/>
      <c r="U15" s="435"/>
      <c r="V15" s="435"/>
      <c r="W15" s="436"/>
      <c r="X15" s="40"/>
      <c r="Y15" s="40"/>
      <c r="Z15" s="40"/>
      <c r="AA15" s="40"/>
      <c r="AB15" s="350"/>
      <c r="AC15" s="351"/>
      <c r="AD15" s="351"/>
      <c r="AE15" s="351"/>
      <c r="AF15" s="351"/>
      <c r="AG15" s="351"/>
      <c r="AH15" s="351"/>
      <c r="AI15" s="352"/>
      <c r="AJ15" s="40"/>
      <c r="AK15" s="40"/>
      <c r="AL15" s="40"/>
      <c r="AM15" s="44"/>
      <c r="AV15" s="230">
        <f t="shared" si="6"/>
        <v>5</v>
      </c>
      <c r="AW15" s="230">
        <f t="shared" si="5"/>
        <v>14</v>
      </c>
      <c r="AX15" s="231">
        <f t="shared" ca="1" si="0"/>
        <v>27342</v>
      </c>
      <c r="AY15">
        <f t="shared" ca="1" si="1"/>
        <v>-0.97908408768247324</v>
      </c>
      <c r="AZ15">
        <f t="shared" ca="1" si="2"/>
        <v>7.0467698516651911E-13</v>
      </c>
      <c r="BA15">
        <f t="shared" ca="1" si="3"/>
        <v>-0.28173255684122622</v>
      </c>
    </row>
    <row r="16" spans="1:53">
      <c r="A16" s="39"/>
      <c r="B16" s="40"/>
      <c r="C16" s="40"/>
      <c r="D16" s="350"/>
      <c r="E16" s="351"/>
      <c r="F16" s="351"/>
      <c r="G16" s="351"/>
      <c r="H16" s="351"/>
      <c r="I16" s="351"/>
      <c r="J16" s="351"/>
      <c r="K16" s="352"/>
      <c r="L16" s="40"/>
      <c r="M16" s="40"/>
      <c r="N16" s="40"/>
      <c r="O16" s="40"/>
      <c r="P16" s="434"/>
      <c r="Q16" s="435"/>
      <c r="R16" s="435"/>
      <c r="S16" s="435"/>
      <c r="T16" s="435"/>
      <c r="U16" s="435"/>
      <c r="V16" s="435"/>
      <c r="W16" s="436"/>
      <c r="X16" s="40"/>
      <c r="Y16" s="40"/>
      <c r="Z16" s="40"/>
      <c r="AA16" s="40"/>
      <c r="AB16" s="350"/>
      <c r="AC16" s="351"/>
      <c r="AD16" s="351"/>
      <c r="AE16" s="351"/>
      <c r="AF16" s="351"/>
      <c r="AG16" s="351"/>
      <c r="AH16" s="351"/>
      <c r="AI16" s="352"/>
      <c r="AJ16" s="40"/>
      <c r="AK16" s="40"/>
      <c r="AL16" s="40"/>
      <c r="AM16" s="44"/>
      <c r="AV16" s="230">
        <f t="shared" si="6"/>
        <v>6</v>
      </c>
      <c r="AW16" s="230">
        <f t="shared" si="5"/>
        <v>15</v>
      </c>
      <c r="AX16" s="231">
        <f t="shared" ca="1" si="0"/>
        <v>27343</v>
      </c>
      <c r="AY16">
        <f t="shared" ca="1" si="1"/>
        <v>-0.88788521840226553</v>
      </c>
      <c r="AZ16">
        <f t="shared" ca="1" si="2"/>
        <v>-0.22252093395628375</v>
      </c>
      <c r="BA16">
        <f t="shared" ca="1" si="3"/>
        <v>-0.45822652172777861</v>
      </c>
    </row>
    <row r="17" spans="1:53" ht="13.5" thickBot="1">
      <c r="A17" s="39"/>
      <c r="B17" s="40"/>
      <c r="C17" s="40"/>
      <c r="D17" s="353"/>
      <c r="E17" s="354"/>
      <c r="F17" s="354"/>
      <c r="G17" s="354"/>
      <c r="H17" s="354"/>
      <c r="I17" s="354"/>
      <c r="J17" s="354"/>
      <c r="K17" s="355"/>
      <c r="L17" s="40"/>
      <c r="M17" s="40"/>
      <c r="N17" s="40"/>
      <c r="O17" s="40"/>
      <c r="P17" s="437"/>
      <c r="Q17" s="438"/>
      <c r="R17" s="438"/>
      <c r="S17" s="438"/>
      <c r="T17" s="438"/>
      <c r="U17" s="438"/>
      <c r="V17" s="438"/>
      <c r="W17" s="439"/>
      <c r="X17" s="40"/>
      <c r="Y17" s="40"/>
      <c r="Z17" s="40"/>
      <c r="AA17" s="40"/>
      <c r="AB17" s="353"/>
      <c r="AC17" s="354"/>
      <c r="AD17" s="354"/>
      <c r="AE17" s="354"/>
      <c r="AF17" s="354"/>
      <c r="AG17" s="354"/>
      <c r="AH17" s="354"/>
      <c r="AI17" s="355"/>
      <c r="AJ17" s="40"/>
      <c r="AK17" s="40"/>
      <c r="AL17" s="40"/>
      <c r="AM17" s="44"/>
      <c r="AV17" s="230">
        <f t="shared" si="6"/>
        <v>7</v>
      </c>
      <c r="AW17" s="230">
        <f t="shared" si="5"/>
        <v>16</v>
      </c>
      <c r="AX17" s="231">
        <f t="shared" ca="1" si="0"/>
        <v>27344</v>
      </c>
      <c r="AY17">
        <f t="shared" ca="1" si="1"/>
        <v>-0.73083596427853548</v>
      </c>
      <c r="AZ17">
        <f t="shared" ca="1" si="2"/>
        <v>-0.43388373911731692</v>
      </c>
      <c r="BA17">
        <f t="shared" ca="1" si="3"/>
        <v>-0.61815898621999343</v>
      </c>
    </row>
    <row r="18" spans="1:53" ht="13.5" thickBot="1">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4"/>
      <c r="AV18" s="230">
        <f t="shared" si="6"/>
        <v>8</v>
      </c>
      <c r="AW18" s="230">
        <f t="shared" si="5"/>
        <v>17</v>
      </c>
      <c r="AX18" s="231">
        <f t="shared" ca="1" si="0"/>
        <v>27345</v>
      </c>
      <c r="AY18">
        <f t="shared" ca="1" si="1"/>
        <v>-0.51958395003511315</v>
      </c>
      <c r="AZ18">
        <f t="shared" ca="1" si="2"/>
        <v>-0.62348980185905056</v>
      </c>
      <c r="BA18">
        <f t="shared" ca="1" si="3"/>
        <v>-0.75574957435415879</v>
      </c>
    </row>
    <row r="19" spans="1:53" ht="12.75" customHeight="1">
      <c r="A19" s="39"/>
      <c r="B19" s="40"/>
      <c r="C19" s="40"/>
      <c r="D19" s="385" t="s">
        <v>165</v>
      </c>
      <c r="E19" s="386"/>
      <c r="F19" s="386"/>
      <c r="G19" s="387"/>
      <c r="H19" s="40"/>
      <c r="I19" s="385">
        <f>IF(VALUE(MID(FIXED(H7,0,TRUE),1,1))+VALUE(MID(FIXED(H7,0,TRUE),2,1))+VALUE(MID(FIXED(H7,0,TRUE),3,1))+VALUE(MID(FIXED(H7,0,TRUE),4,1))&gt;10,11-(VALUE(MID((VALUE(MID(FIXED(H7,0,TRUE),1,1))+VALUE(MID(FIXED(H7,0,TRUE),2,1))+VALUE(MID(FIXED(H7,0,TRUE),3,1))+VALUE(MID(FIXED(H7,0,TRUE),4,1))),1,1))+VALUE(MID((VALUE(MID(FIXED(H7,0,TRUE),1,1))+VALUE(MID(FIXED(H7,0,TRUE),2,1))+VALUE(MID(FIXED(H7,0,TRUE),3,1))+VALUE(MID(FIXED(H7,0,TRUE),4,1))),2,1))),11-(VALUE(MID(FIXED(H7,0,TRUE),1,1))+VALUE(MID(FIXED(H7,0,TRUE),2,1))+VALUE(MID(FIXED(H7,0,TRUE),3,1))+VALUE(MID(FIXED(H7,0,TRUE),4,1))))</f>
        <v>8</v>
      </c>
      <c r="J19" s="386"/>
      <c r="K19" s="387"/>
      <c r="L19" s="40"/>
      <c r="M19" s="40"/>
      <c r="N19" s="40"/>
      <c r="O19" s="40"/>
      <c r="P19" s="385" t="s">
        <v>166</v>
      </c>
      <c r="Q19" s="440"/>
      <c r="R19" s="440"/>
      <c r="S19" s="441"/>
      <c r="T19" s="40"/>
      <c r="U19" s="385">
        <f ca="1">+'Cálculo de 2a. Estrella'!G25</f>
        <v>1</v>
      </c>
      <c r="V19" s="440"/>
      <c r="W19" s="441"/>
      <c r="X19" s="40"/>
      <c r="Y19" s="40"/>
      <c r="Z19" s="40"/>
      <c r="AA19" s="40"/>
      <c r="AB19" s="385" t="s">
        <v>167</v>
      </c>
      <c r="AC19" s="424"/>
      <c r="AD19" s="424"/>
      <c r="AE19" s="425"/>
      <c r="AF19" s="40"/>
      <c r="AG19" s="385">
        <f ca="1">IF(AND(U19&gt;5,I19&gt;5),I19-(U19-5),IF(AND(I19&lt;5,U19&gt;5),I19+(U19-5),IF(AND(I19&gt;5,U19&lt;5),I19-(5-U19),I19+(5-U19))))</f>
        <v>4</v>
      </c>
      <c r="AH19" s="386"/>
      <c r="AI19" s="387"/>
      <c r="AJ19" s="40"/>
      <c r="AK19" s="40"/>
      <c r="AL19" s="40"/>
      <c r="AM19" s="44"/>
      <c r="AV19" s="230">
        <f t="shared" si="6"/>
        <v>9</v>
      </c>
      <c r="AW19" s="230">
        <f t="shared" si="5"/>
        <v>18</v>
      </c>
      <c r="AX19" s="231">
        <f t="shared" ca="1" si="0"/>
        <v>27346</v>
      </c>
      <c r="AY19">
        <f t="shared" ca="1" si="1"/>
        <v>-0.26979677115747319</v>
      </c>
      <c r="AZ19">
        <f t="shared" ca="1" si="2"/>
        <v>-0.78183148246813539</v>
      </c>
      <c r="BA19">
        <f t="shared" ca="1" si="3"/>
        <v>-0.8660254037842211</v>
      </c>
    </row>
    <row r="20" spans="1:53" ht="12.75" customHeight="1">
      <c r="A20" s="39"/>
      <c r="B20" s="40"/>
      <c r="C20" s="40"/>
      <c r="D20" s="388"/>
      <c r="E20" s="389"/>
      <c r="F20" s="389"/>
      <c r="G20" s="390"/>
      <c r="H20" s="40"/>
      <c r="I20" s="388"/>
      <c r="J20" s="389"/>
      <c r="K20" s="390"/>
      <c r="L20" s="40"/>
      <c r="M20" s="40"/>
      <c r="N20" s="40"/>
      <c r="O20" s="40"/>
      <c r="P20" s="442"/>
      <c r="Q20" s="443"/>
      <c r="R20" s="443"/>
      <c r="S20" s="444"/>
      <c r="T20" s="40"/>
      <c r="U20" s="442"/>
      <c r="V20" s="443"/>
      <c r="W20" s="444"/>
      <c r="X20" s="40"/>
      <c r="Y20" s="40"/>
      <c r="Z20" s="40"/>
      <c r="AA20" s="40"/>
      <c r="AB20" s="426"/>
      <c r="AC20" s="427"/>
      <c r="AD20" s="427"/>
      <c r="AE20" s="428"/>
      <c r="AF20" s="40"/>
      <c r="AG20" s="388"/>
      <c r="AH20" s="389"/>
      <c r="AI20" s="390"/>
      <c r="AJ20" s="40"/>
      <c r="AK20" s="40"/>
      <c r="AL20" s="40"/>
      <c r="AM20" s="44"/>
      <c r="AV20" s="230">
        <f t="shared" si="6"/>
        <v>10</v>
      </c>
      <c r="AW20" s="230">
        <f t="shared" si="5"/>
        <v>19</v>
      </c>
      <c r="AX20" s="231">
        <f t="shared" ca="1" si="0"/>
        <v>27347</v>
      </c>
      <c r="AY20">
        <f t="shared" ca="1" si="1"/>
        <v>-3.9792171294128487E-13</v>
      </c>
      <c r="AZ20">
        <f t="shared" ca="1" si="2"/>
        <v>-0.90096886790239006</v>
      </c>
      <c r="BA20">
        <f t="shared" ca="1" si="3"/>
        <v>-0.94500081871443353</v>
      </c>
    </row>
    <row r="21" spans="1:53" ht="12.75" customHeight="1">
      <c r="A21" s="39"/>
      <c r="B21" s="40"/>
      <c r="C21" s="40"/>
      <c r="D21" s="388"/>
      <c r="E21" s="389"/>
      <c r="F21" s="389"/>
      <c r="G21" s="390"/>
      <c r="H21" s="40"/>
      <c r="I21" s="388"/>
      <c r="J21" s="389"/>
      <c r="K21" s="390"/>
      <c r="L21" s="40"/>
      <c r="M21" s="40"/>
      <c r="N21" s="40"/>
      <c r="O21" s="40"/>
      <c r="P21" s="442"/>
      <c r="Q21" s="443"/>
      <c r="R21" s="443"/>
      <c r="S21" s="444"/>
      <c r="T21" s="40"/>
      <c r="U21" s="442"/>
      <c r="V21" s="443"/>
      <c r="W21" s="444"/>
      <c r="X21" s="40"/>
      <c r="Y21" s="40"/>
      <c r="Z21" s="40"/>
      <c r="AA21" s="40"/>
      <c r="AB21" s="426"/>
      <c r="AC21" s="427"/>
      <c r="AD21" s="427"/>
      <c r="AE21" s="428"/>
      <c r="AF21" s="40"/>
      <c r="AG21" s="388"/>
      <c r="AH21" s="389"/>
      <c r="AI21" s="390"/>
      <c r="AJ21" s="40"/>
      <c r="AK21" s="40"/>
      <c r="AL21" s="40"/>
      <c r="AM21" s="44"/>
      <c r="AV21" s="230">
        <f t="shared" si="6"/>
        <v>11</v>
      </c>
      <c r="AW21" s="230">
        <f t="shared" si="5"/>
        <v>20</v>
      </c>
      <c r="AX21" s="231">
        <f t="shared" ca="1" si="0"/>
        <v>27348</v>
      </c>
      <c r="AY21">
        <f t="shared" ca="1" si="1"/>
        <v>0.2697967711575826</v>
      </c>
      <c r="AZ21">
        <f t="shared" ca="1" si="2"/>
        <v>-0.97492791218195851</v>
      </c>
      <c r="BA21">
        <f t="shared" ca="1" si="3"/>
        <v>-0.98982144188091969</v>
      </c>
    </row>
    <row r="22" spans="1:53" ht="12.75" customHeight="1">
      <c r="A22" s="39"/>
      <c r="B22" s="40"/>
      <c r="C22" s="40"/>
      <c r="D22" s="388"/>
      <c r="E22" s="389"/>
      <c r="F22" s="389"/>
      <c r="G22" s="390"/>
      <c r="H22" s="40"/>
      <c r="I22" s="388"/>
      <c r="J22" s="389"/>
      <c r="K22" s="390"/>
      <c r="L22" s="40"/>
      <c r="M22" s="40"/>
      <c r="N22" s="40"/>
      <c r="O22" s="40"/>
      <c r="P22" s="442"/>
      <c r="Q22" s="443"/>
      <c r="R22" s="443"/>
      <c r="S22" s="444"/>
      <c r="T22" s="40"/>
      <c r="U22" s="442"/>
      <c r="V22" s="443"/>
      <c r="W22" s="444"/>
      <c r="X22" s="40"/>
      <c r="Y22" s="40"/>
      <c r="Z22" s="40"/>
      <c r="AA22" s="40"/>
      <c r="AB22" s="426"/>
      <c r="AC22" s="427"/>
      <c r="AD22" s="427"/>
      <c r="AE22" s="428"/>
      <c r="AF22" s="40"/>
      <c r="AG22" s="388"/>
      <c r="AH22" s="389"/>
      <c r="AI22" s="390"/>
      <c r="AJ22" s="40"/>
      <c r="AK22" s="40"/>
      <c r="AL22" s="40"/>
      <c r="AM22" s="44"/>
      <c r="AV22" s="230">
        <f t="shared" si="6"/>
        <v>12</v>
      </c>
      <c r="AW22" s="230">
        <f t="shared" si="5"/>
        <v>21</v>
      </c>
      <c r="AX22" s="231">
        <f t="shared" ca="1" si="0"/>
        <v>27349</v>
      </c>
      <c r="AY22">
        <f t="shared" ca="1" si="1"/>
        <v>0.51958395003521018</v>
      </c>
      <c r="AZ22">
        <f t="shared" ca="1" si="2"/>
        <v>-1</v>
      </c>
      <c r="BA22">
        <f t="shared" ca="1" si="3"/>
        <v>-0.99886733918302584</v>
      </c>
    </row>
    <row r="23" spans="1:53" ht="13.5" customHeight="1" thickBot="1">
      <c r="A23" s="39"/>
      <c r="B23" s="40"/>
      <c r="C23" s="40"/>
      <c r="D23" s="391"/>
      <c r="E23" s="392"/>
      <c r="F23" s="392"/>
      <c r="G23" s="393"/>
      <c r="H23" s="40"/>
      <c r="I23" s="391"/>
      <c r="J23" s="392"/>
      <c r="K23" s="393"/>
      <c r="L23" s="40"/>
      <c r="M23" s="40"/>
      <c r="N23" s="40"/>
      <c r="O23" s="40"/>
      <c r="P23" s="445"/>
      <c r="Q23" s="446"/>
      <c r="R23" s="446"/>
      <c r="S23" s="447"/>
      <c r="T23" s="40"/>
      <c r="U23" s="445"/>
      <c r="V23" s="446"/>
      <c r="W23" s="447"/>
      <c r="X23" s="40"/>
      <c r="Y23" s="40"/>
      <c r="Z23" s="40"/>
      <c r="AA23" s="40"/>
      <c r="AB23" s="429"/>
      <c r="AC23" s="430"/>
      <c r="AD23" s="430"/>
      <c r="AE23" s="431"/>
      <c r="AF23" s="40"/>
      <c r="AG23" s="391"/>
      <c r="AH23" s="392"/>
      <c r="AI23" s="393"/>
      <c r="AJ23" s="40"/>
      <c r="AK23" s="40"/>
      <c r="AL23" s="40"/>
      <c r="AM23" s="44"/>
      <c r="AV23" s="230">
        <f t="shared" si="6"/>
        <v>13</v>
      </c>
      <c r="AW23" s="230">
        <f t="shared" si="5"/>
        <v>22</v>
      </c>
      <c r="AX23" s="231">
        <f t="shared" ca="1" si="0"/>
        <v>27350</v>
      </c>
      <c r="AY23">
        <f t="shared" ca="1" si="1"/>
        <v>0.73083596427799224</v>
      </c>
      <c r="AZ23">
        <f t="shared" ca="1" si="2"/>
        <v>-0.97492791218199626</v>
      </c>
      <c r="BA23">
        <f t="shared" ca="1" si="3"/>
        <v>-0.97181156832369686</v>
      </c>
    </row>
    <row r="24" spans="1:53">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4"/>
      <c r="AV24" s="230">
        <f t="shared" si="6"/>
        <v>14</v>
      </c>
      <c r="AW24" s="230">
        <f t="shared" si="5"/>
        <v>23</v>
      </c>
      <c r="AX24" s="231">
        <f t="shared" ca="1" si="0"/>
        <v>27351</v>
      </c>
      <c r="AY24">
        <f t="shared" ca="1" si="1"/>
        <v>0.88788521840231782</v>
      </c>
      <c r="AZ24">
        <f t="shared" ca="1" si="2"/>
        <v>-0.90096886790246367</v>
      </c>
      <c r="BA24">
        <f t="shared" ca="1" si="3"/>
        <v>-0.90963199535453165</v>
      </c>
    </row>
    <row r="25" spans="1:53" ht="13.5" thickBot="1">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4"/>
      <c r="AV25" s="230">
        <f t="shared" si="6"/>
        <v>15</v>
      </c>
      <c r="AW25" s="230">
        <f t="shared" si="5"/>
        <v>24</v>
      </c>
      <c r="AX25" s="231">
        <f t="shared" ca="1" si="0"/>
        <v>27352</v>
      </c>
      <c r="AY25">
        <f t="shared" ca="1" si="1"/>
        <v>0.97908408768231137</v>
      </c>
      <c r="AZ25">
        <f t="shared" ca="1" si="2"/>
        <v>-0.78183148246824108</v>
      </c>
      <c r="BA25">
        <f t="shared" ca="1" si="3"/>
        <v>-0.81457595205051847</v>
      </c>
    </row>
    <row r="26" spans="1:53">
      <c r="A26" s="39"/>
      <c r="B26" s="40"/>
      <c r="C26" s="40"/>
      <c r="D26" s="7"/>
      <c r="E26" s="8"/>
      <c r="F26" s="8"/>
      <c r="G26" s="8"/>
      <c r="H26" s="8"/>
      <c r="I26" s="8"/>
      <c r="J26" s="8"/>
      <c r="K26" s="9"/>
      <c r="L26" s="40"/>
      <c r="M26" s="40"/>
      <c r="N26" s="40"/>
      <c r="O26" s="40"/>
      <c r="P26" s="7"/>
      <c r="Q26" s="8"/>
      <c r="R26" s="8"/>
      <c r="S26" s="8"/>
      <c r="T26" s="8"/>
      <c r="U26" s="8"/>
      <c r="V26" s="8"/>
      <c r="W26" s="9"/>
      <c r="X26" s="40"/>
      <c r="Y26" s="40"/>
      <c r="Z26" s="40"/>
      <c r="AA26" s="40"/>
      <c r="AB26" s="40"/>
      <c r="AC26" s="7"/>
      <c r="AD26" s="8"/>
      <c r="AE26" s="8"/>
      <c r="AF26" s="8"/>
      <c r="AG26" s="8"/>
      <c r="AH26" s="8"/>
      <c r="AI26" s="8"/>
      <c r="AJ26" s="9"/>
      <c r="AK26" s="40"/>
      <c r="AL26" s="40"/>
      <c r="AM26" s="44"/>
      <c r="AV26" s="230">
        <f t="shared" si="6"/>
        <v>16</v>
      </c>
      <c r="AW26" s="230">
        <f t="shared" si="5"/>
        <v>25</v>
      </c>
      <c r="AX26" s="231">
        <f t="shared" ca="1" si="0"/>
        <v>27353</v>
      </c>
      <c r="AY26">
        <f t="shared" ca="1" si="1"/>
        <v>0.99766876919060044</v>
      </c>
      <c r="AZ26">
        <f t="shared" ca="1" si="2"/>
        <v>-0.62348980185918312</v>
      </c>
      <c r="BA26">
        <f t="shared" ca="1" si="3"/>
        <v>-0.69007901148254491</v>
      </c>
    </row>
    <row r="27" spans="1:53">
      <c r="A27" s="39"/>
      <c r="B27" s="40"/>
      <c r="C27" s="40"/>
      <c r="D27" s="10"/>
      <c r="E27" s="11"/>
      <c r="F27" s="11"/>
      <c r="G27" s="12"/>
      <c r="H27" s="12"/>
      <c r="I27" s="11"/>
      <c r="J27" s="11"/>
      <c r="K27" s="13"/>
      <c r="L27" s="40"/>
      <c r="M27" s="40"/>
      <c r="N27" s="40"/>
      <c r="O27" s="40"/>
      <c r="P27" s="10"/>
      <c r="Q27" s="11"/>
      <c r="R27" s="11"/>
      <c r="S27" s="12"/>
      <c r="T27" s="12"/>
      <c r="U27" s="11"/>
      <c r="V27" s="11"/>
      <c r="W27" s="13"/>
      <c r="X27" s="40"/>
      <c r="Y27" s="40"/>
      <c r="Z27" s="40"/>
      <c r="AA27" s="40"/>
      <c r="AB27" s="40"/>
      <c r="AC27" s="10"/>
      <c r="AD27" s="11"/>
      <c r="AE27" s="11"/>
      <c r="AF27" s="12"/>
      <c r="AG27" s="12"/>
      <c r="AH27" s="11"/>
      <c r="AI27" s="11"/>
      <c r="AJ27" s="13"/>
      <c r="AK27" s="40"/>
      <c r="AL27" s="40"/>
      <c r="AM27" s="44"/>
      <c r="AV27" s="230">
        <f t="shared" si="6"/>
        <v>17</v>
      </c>
      <c r="AW27" s="230">
        <f t="shared" si="5"/>
        <v>26</v>
      </c>
      <c r="AX27" s="231">
        <f t="shared" ca="1" si="0"/>
        <v>27354</v>
      </c>
      <c r="AY27">
        <f t="shared" ca="1" si="1"/>
        <v>0.94226092211879375</v>
      </c>
      <c r="AZ27">
        <f t="shared" ca="1" si="2"/>
        <v>-0.43388373911746969</v>
      </c>
      <c r="BA27">
        <f t="shared" ca="1" si="3"/>
        <v>-0.54064081745557391</v>
      </c>
    </row>
    <row r="28" spans="1:53">
      <c r="A28" s="39"/>
      <c r="B28" s="40"/>
      <c r="C28" s="40"/>
      <c r="D28" s="10"/>
      <c r="E28" s="14"/>
      <c r="F28" s="14"/>
      <c r="G28" s="14"/>
      <c r="H28" s="14"/>
      <c r="I28" s="14"/>
      <c r="J28" s="14"/>
      <c r="K28" s="13"/>
      <c r="L28" s="40"/>
      <c r="M28" s="40"/>
      <c r="N28" s="40"/>
      <c r="O28" s="40"/>
      <c r="P28" s="10"/>
      <c r="Q28" s="14"/>
      <c r="R28" s="14"/>
      <c r="S28" s="14"/>
      <c r="T28" s="14"/>
      <c r="U28" s="14"/>
      <c r="V28" s="14"/>
      <c r="W28" s="13"/>
      <c r="X28" s="40"/>
      <c r="Y28" s="40"/>
      <c r="Z28" s="40"/>
      <c r="AA28" s="40"/>
      <c r="AB28" s="40"/>
      <c r="AC28" s="10"/>
      <c r="AD28" s="14"/>
      <c r="AE28" s="14"/>
      <c r="AF28" s="14"/>
      <c r="AG28" s="14"/>
      <c r="AH28" s="14"/>
      <c r="AI28" s="14"/>
      <c r="AJ28" s="13"/>
      <c r="AK28" s="40"/>
      <c r="AL28" s="40"/>
      <c r="AM28" s="44"/>
      <c r="AV28" s="230">
        <f t="shared" si="6"/>
        <v>18</v>
      </c>
      <c r="AW28" s="230">
        <f t="shared" si="5"/>
        <v>27</v>
      </c>
      <c r="AX28" s="231">
        <f t="shared" ca="1" si="0"/>
        <v>27355</v>
      </c>
      <c r="AY28">
        <f t="shared" ca="1" si="1"/>
        <v>0.81696989301088108</v>
      </c>
      <c r="AZ28">
        <f t="shared" ca="1" si="2"/>
        <v>-0.22252093395644906</v>
      </c>
      <c r="BA28">
        <f t="shared" ca="1" si="3"/>
        <v>-0.37166245566056427</v>
      </c>
    </row>
    <row r="29" spans="1:53">
      <c r="A29" s="39"/>
      <c r="B29" s="40"/>
      <c r="C29" s="40"/>
      <c r="D29" s="10"/>
      <c r="E29" s="11"/>
      <c r="F29" s="11"/>
      <c r="G29" s="12"/>
      <c r="H29" s="12"/>
      <c r="I29" s="11"/>
      <c r="J29" s="11"/>
      <c r="K29" s="13"/>
      <c r="L29" s="40"/>
      <c r="M29" s="40"/>
      <c r="N29" s="40"/>
      <c r="O29" s="40"/>
      <c r="P29" s="10"/>
      <c r="Q29" s="11"/>
      <c r="R29" s="11"/>
      <c r="S29" s="12"/>
      <c r="T29" s="12"/>
      <c r="U29" s="11"/>
      <c r="V29" s="11"/>
      <c r="W29" s="13"/>
      <c r="X29" s="40"/>
      <c r="Y29" s="40"/>
      <c r="Z29" s="40"/>
      <c r="AA29" s="40"/>
      <c r="AB29" s="40"/>
      <c r="AC29" s="10"/>
      <c r="AD29" s="11"/>
      <c r="AE29" s="11"/>
      <c r="AF29" s="12"/>
      <c r="AG29" s="12"/>
      <c r="AH29" s="11"/>
      <c r="AI29" s="11"/>
      <c r="AJ29" s="13"/>
      <c r="AK29" s="40"/>
      <c r="AL29" s="40"/>
      <c r="AM29" s="44"/>
      <c r="AV29" s="230">
        <f t="shared" si="6"/>
        <v>19</v>
      </c>
      <c r="AW29" s="230">
        <f t="shared" si="5"/>
        <v>28</v>
      </c>
      <c r="AX29" s="231">
        <f t="shared" ca="1" si="0"/>
        <v>27356</v>
      </c>
      <c r="AY29">
        <f t="shared" ca="1" si="1"/>
        <v>0.63108794432659043</v>
      </c>
      <c r="AZ29">
        <f t="shared" ca="1" si="2"/>
        <v>-3.7439712788356339E-13</v>
      </c>
      <c r="BA29">
        <f t="shared" ca="1" si="3"/>
        <v>-0.18925124436093863</v>
      </c>
    </row>
    <row r="30" spans="1:53">
      <c r="A30" s="39"/>
      <c r="B30" s="40"/>
      <c r="C30" s="40"/>
      <c r="D30" s="10"/>
      <c r="E30" s="14"/>
      <c r="F30" s="14"/>
      <c r="G30" s="14"/>
      <c r="H30" s="14"/>
      <c r="I30" s="14"/>
      <c r="J30" s="14"/>
      <c r="K30" s="13"/>
      <c r="L30" s="40"/>
      <c r="M30" s="40"/>
      <c r="N30" s="40"/>
      <c r="O30" s="40"/>
      <c r="P30" s="10"/>
      <c r="Q30" s="14"/>
      <c r="R30" s="14"/>
      <c r="S30" s="14"/>
      <c r="T30" s="14"/>
      <c r="U30" s="14"/>
      <c r="V30" s="14"/>
      <c r="W30" s="13"/>
      <c r="X30" s="40"/>
      <c r="Y30" s="40"/>
      <c r="Z30" s="40"/>
      <c r="AA30" s="40"/>
      <c r="AB30" s="40"/>
      <c r="AC30" s="10"/>
      <c r="AD30" s="14"/>
      <c r="AE30" s="14"/>
      <c r="AF30" s="14"/>
      <c r="AG30" s="14"/>
      <c r="AH30" s="14"/>
      <c r="AI30" s="14"/>
      <c r="AJ30" s="13"/>
      <c r="AK30" s="40"/>
      <c r="AL30" s="40"/>
      <c r="AM30" s="44"/>
      <c r="AV30" s="230">
        <f t="shared" si="6"/>
        <v>20</v>
      </c>
      <c r="AW30" s="230">
        <f t="shared" si="5"/>
        <v>29</v>
      </c>
      <c r="AX30" s="231">
        <f t="shared" ca="1" si="0"/>
        <v>27357</v>
      </c>
      <c r="AY30">
        <f t="shared" ca="1" si="1"/>
        <v>0.39840108984598033</v>
      </c>
      <c r="AZ30">
        <f t="shared" ca="1" si="2"/>
        <v>0.22252093395660574</v>
      </c>
      <c r="BA30">
        <f t="shared" ca="1" si="3"/>
        <v>8.8192907837791878E-14</v>
      </c>
    </row>
    <row r="31" spans="1:53">
      <c r="A31" s="39"/>
      <c r="B31" s="40"/>
      <c r="C31" s="40"/>
      <c r="D31" s="10"/>
      <c r="E31" s="11"/>
      <c r="F31" s="11"/>
      <c r="G31" s="12"/>
      <c r="H31" s="12"/>
      <c r="I31" s="11"/>
      <c r="J31" s="11"/>
      <c r="K31" s="13"/>
      <c r="L31" s="40"/>
      <c r="M31" s="40"/>
      <c r="N31" s="40"/>
      <c r="O31" s="40"/>
      <c r="P31" s="10"/>
      <c r="Q31" s="11"/>
      <c r="R31" s="11"/>
      <c r="S31" s="12"/>
      <c r="T31" s="12"/>
      <c r="U31" s="11"/>
      <c r="V31" s="11"/>
      <c r="W31" s="13"/>
      <c r="X31" s="40"/>
      <c r="Y31" s="40"/>
      <c r="Z31" s="40"/>
      <c r="AA31" s="40"/>
      <c r="AB31" s="40"/>
      <c r="AC31" s="10"/>
      <c r="AD31" s="11"/>
      <c r="AE31" s="11"/>
      <c r="AF31" s="12"/>
      <c r="AG31" s="12"/>
      <c r="AH31" s="11"/>
      <c r="AI31" s="11"/>
      <c r="AJ31" s="13"/>
      <c r="AK31" s="40"/>
      <c r="AL31" s="40"/>
      <c r="AM31" s="44"/>
      <c r="AV31" s="230">
        <f t="shared" si="6"/>
        <v>21</v>
      </c>
      <c r="AW31" s="230">
        <f t="shared" si="5"/>
        <v>30</v>
      </c>
      <c r="AX31" s="231">
        <f t="shared" ca="1" si="0"/>
        <v>27358</v>
      </c>
      <c r="AY31">
        <f t="shared" ca="1" si="1"/>
        <v>0.13616664909679793</v>
      </c>
      <c r="AZ31">
        <f t="shared" ca="1" si="2"/>
        <v>0.43388373911761452</v>
      </c>
      <c r="BA31">
        <f t="shared" ca="1" si="3"/>
        <v>0.18925124436021878</v>
      </c>
    </row>
    <row r="32" spans="1:53" ht="13.5" thickBot="1">
      <c r="A32" s="39"/>
      <c r="B32" s="40"/>
      <c r="C32" s="40"/>
      <c r="D32" s="15"/>
      <c r="E32" s="16"/>
      <c r="F32" s="16"/>
      <c r="G32" s="16"/>
      <c r="H32" s="16"/>
      <c r="I32" s="16"/>
      <c r="J32" s="16"/>
      <c r="K32" s="17"/>
      <c r="L32" s="40"/>
      <c r="M32" s="40"/>
      <c r="N32" s="40"/>
      <c r="O32" s="40"/>
      <c r="P32" s="15"/>
      <c r="Q32" s="16"/>
      <c r="R32" s="16"/>
      <c r="S32" s="16"/>
      <c r="T32" s="16"/>
      <c r="U32" s="16"/>
      <c r="V32" s="16"/>
      <c r="W32" s="17"/>
      <c r="X32" s="40"/>
      <c r="Y32" s="40"/>
      <c r="Z32" s="40"/>
      <c r="AA32" s="40"/>
      <c r="AB32" s="40"/>
      <c r="AC32" s="15"/>
      <c r="AD32" s="16"/>
      <c r="AE32" s="16"/>
      <c r="AF32" s="16"/>
      <c r="AG32" s="16"/>
      <c r="AH32" s="16"/>
      <c r="AI32" s="16"/>
      <c r="AJ32" s="17"/>
      <c r="AK32" s="40"/>
      <c r="AL32" s="40"/>
      <c r="AM32" s="44"/>
      <c r="AV32" s="230">
        <f t="shared" si="6"/>
        <v>22</v>
      </c>
      <c r="AW32" s="230">
        <f t="shared" si="5"/>
        <v>31</v>
      </c>
      <c r="AX32" s="231">
        <f t="shared" ca="1" si="0"/>
        <v>27359</v>
      </c>
      <c r="AY32">
        <f t="shared" ca="1" si="1"/>
        <v>-0.13616664909576287</v>
      </c>
      <c r="AZ32">
        <f t="shared" ca="1" si="2"/>
        <v>0.62348980185788661</v>
      </c>
      <c r="BA32">
        <f t="shared" ca="1" si="3"/>
        <v>0.37166245565988365</v>
      </c>
    </row>
    <row r="33" spans="1:120" ht="13.5" thickBot="1">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4"/>
      <c r="AV33" s="230">
        <f t="shared" si="6"/>
        <v>23</v>
      </c>
      <c r="AW33" s="230">
        <f t="shared" si="5"/>
        <v>32</v>
      </c>
      <c r="AX33" s="231">
        <f t="shared" ca="1" si="0"/>
        <v>27360</v>
      </c>
      <c r="AY33">
        <f t="shared" ca="1" si="1"/>
        <v>-0.39840108984585626</v>
      </c>
      <c r="AZ33">
        <f t="shared" ca="1" si="2"/>
        <v>0.78183148246777423</v>
      </c>
      <c r="BA33">
        <f t="shared" ca="1" si="3"/>
        <v>0.54064081745572234</v>
      </c>
    </row>
    <row r="34" spans="1:120" ht="30" customHeight="1">
      <c r="A34" s="39"/>
      <c r="B34" s="395" t="str">
        <f>IF(I19=1,"KAN (Agua)",IF(I19=2,"KUN (Tierra)",IF(I19=3,"CHEN (Trueno, madera)",IF(I19=4,"SUN (Viento, madera)",IF(I19=6,"CHIEN (Cielo, metal)",IF(I19=7,"TUI (Lago, metal)",IF(I19=8,"KEN (Montaña, tierra)",IF(I19=9,"LI (Fuego)","TAO (Tierra centro)"))))))))</f>
        <v>KEN (Montaña, tierra)</v>
      </c>
      <c r="C34" s="396"/>
      <c r="D34" s="396"/>
      <c r="E34" s="396"/>
      <c r="F34" s="396"/>
      <c r="G34" s="396"/>
      <c r="H34" s="396"/>
      <c r="I34" s="396"/>
      <c r="J34" s="396"/>
      <c r="K34" s="396"/>
      <c r="L34" s="396"/>
      <c r="M34" s="397"/>
      <c r="N34" s="40"/>
      <c r="O34" s="395" t="str">
        <f ca="1">IF(U19=1,"KAN (Agua)",IF(U19=2,"KUN (Tierra)",IF(U19=3,"CHEN (Trueno, madera)",IF(U19=4,"SUN (Viento)",IF(U19=6,"CHIEN (Cielo)",IF(U19=7,"TUI (Lago)",IF(U19=8,"KEN (Montaña)",IF(U19=9,"LI (Fuego)","TAO (Tierra centro)"))))))))</f>
        <v>KAN (Agua)</v>
      </c>
      <c r="P34" s="396"/>
      <c r="Q34" s="396"/>
      <c r="R34" s="396"/>
      <c r="S34" s="396"/>
      <c r="T34" s="396"/>
      <c r="U34" s="396"/>
      <c r="V34" s="396"/>
      <c r="W34" s="396"/>
      <c r="X34" s="396"/>
      <c r="Y34" s="397"/>
      <c r="Z34" s="40"/>
      <c r="AA34" s="395" t="str">
        <f ca="1">IF(AG19=1,"KAN (Agua)",IF(AG19=2,"KUN (Tierra)",IF(AG19=3,"CHEN (Trueno, madera)",IF(AG19=4,"SUN (Viento, madera)",IF(AG19=6,"CHIEN (Cielo, metal)",IF(AG19=7,"TUI (Lago, metal)",IF(AG19=8,"KEN (Montaña, tierra)",IF(AG19=9,"LI (Fuego)","TAO (Tierra centro)"))))))))</f>
        <v>SUN (Viento, madera)</v>
      </c>
      <c r="AB34" s="396"/>
      <c r="AC34" s="396"/>
      <c r="AD34" s="396"/>
      <c r="AE34" s="396"/>
      <c r="AF34" s="396"/>
      <c r="AG34" s="396"/>
      <c r="AH34" s="396"/>
      <c r="AI34" s="396"/>
      <c r="AJ34" s="396"/>
      <c r="AK34" s="396"/>
      <c r="AL34" s="397"/>
      <c r="AM34" s="44"/>
      <c r="AV34" s="230">
        <f t="shared" si="6"/>
        <v>24</v>
      </c>
      <c r="AW34" s="230">
        <f t="shared" si="5"/>
        <v>33</v>
      </c>
      <c r="AX34" s="231">
        <f t="shared" ca="1" si="0"/>
        <v>27361</v>
      </c>
      <c r="AY34">
        <f t="shared" ca="1" si="1"/>
        <v>-0.63108794432577997</v>
      </c>
      <c r="AZ34">
        <f t="shared" ca="1" si="2"/>
        <v>0.9009688679021387</v>
      </c>
      <c r="BA34">
        <f t="shared" ca="1" si="3"/>
        <v>0.69007901148201434</v>
      </c>
    </row>
    <row r="35" spans="1:120" ht="12.75" customHeight="1">
      <c r="A35" s="39"/>
      <c r="B35" s="398"/>
      <c r="C35" s="399"/>
      <c r="D35" s="399"/>
      <c r="E35" s="399"/>
      <c r="F35" s="399"/>
      <c r="G35" s="399"/>
      <c r="H35" s="399"/>
      <c r="I35" s="399"/>
      <c r="J35" s="399"/>
      <c r="K35" s="399"/>
      <c r="L35" s="399"/>
      <c r="M35" s="400"/>
      <c r="N35" s="40"/>
      <c r="O35" s="398"/>
      <c r="P35" s="399"/>
      <c r="Q35" s="399"/>
      <c r="R35" s="399"/>
      <c r="S35" s="399"/>
      <c r="T35" s="399"/>
      <c r="U35" s="399"/>
      <c r="V35" s="399"/>
      <c r="W35" s="399"/>
      <c r="X35" s="399"/>
      <c r="Y35" s="400"/>
      <c r="Z35" s="40"/>
      <c r="AA35" s="398"/>
      <c r="AB35" s="399"/>
      <c r="AC35" s="399"/>
      <c r="AD35" s="399"/>
      <c r="AE35" s="399"/>
      <c r="AF35" s="399"/>
      <c r="AG35" s="399"/>
      <c r="AH35" s="399"/>
      <c r="AI35" s="399"/>
      <c r="AJ35" s="399"/>
      <c r="AK35" s="399"/>
      <c r="AL35" s="400"/>
      <c r="AM35" s="44"/>
      <c r="AV35" s="230">
        <f t="shared" si="6"/>
        <v>25</v>
      </c>
      <c r="AW35" s="230">
        <f t="shared" si="5"/>
        <v>34</v>
      </c>
      <c r="AX35" s="231">
        <f t="shared" ca="1" si="0"/>
        <v>27362</v>
      </c>
      <c r="AY35">
        <f t="shared" ca="1" si="1"/>
        <v>-0.81696989300975409</v>
      </c>
      <c r="AZ35">
        <f t="shared" ca="1" si="2"/>
        <v>0.97492791218162722</v>
      </c>
      <c r="BA35">
        <f t="shared" ca="1" si="3"/>
        <v>0.81457595205009325</v>
      </c>
    </row>
    <row r="36" spans="1:120" ht="12.75" customHeight="1">
      <c r="A36" s="39"/>
      <c r="B36" s="398"/>
      <c r="C36" s="399"/>
      <c r="D36" s="399"/>
      <c r="E36" s="399"/>
      <c r="F36" s="399"/>
      <c r="G36" s="399"/>
      <c r="H36" s="399"/>
      <c r="I36" s="399"/>
      <c r="J36" s="399"/>
      <c r="K36" s="399"/>
      <c r="L36" s="399"/>
      <c r="M36" s="400"/>
      <c r="N36" s="40"/>
      <c r="O36" s="398"/>
      <c r="P36" s="399"/>
      <c r="Q36" s="399"/>
      <c r="R36" s="399"/>
      <c r="S36" s="399"/>
      <c r="T36" s="399"/>
      <c r="U36" s="399"/>
      <c r="V36" s="399"/>
      <c r="W36" s="399"/>
      <c r="X36" s="399"/>
      <c r="Y36" s="400"/>
      <c r="Z36" s="40"/>
      <c r="AA36" s="398"/>
      <c r="AB36" s="399"/>
      <c r="AC36" s="399"/>
      <c r="AD36" s="399"/>
      <c r="AE36" s="399"/>
      <c r="AF36" s="399"/>
      <c r="AG36" s="399"/>
      <c r="AH36" s="399"/>
      <c r="AI36" s="399"/>
      <c r="AJ36" s="399"/>
      <c r="AK36" s="399"/>
      <c r="AL36" s="400"/>
      <c r="AM36" s="44"/>
      <c r="AV36" s="230"/>
      <c r="AW36" s="230"/>
      <c r="AX36" s="231"/>
    </row>
    <row r="37" spans="1:120" ht="12.75" customHeight="1">
      <c r="A37" s="39"/>
      <c r="B37" s="398"/>
      <c r="C37" s="399"/>
      <c r="D37" s="399"/>
      <c r="E37" s="399"/>
      <c r="F37" s="399"/>
      <c r="G37" s="399"/>
      <c r="H37" s="399"/>
      <c r="I37" s="399"/>
      <c r="J37" s="399"/>
      <c r="K37" s="399"/>
      <c r="L37" s="399"/>
      <c r="M37" s="400"/>
      <c r="N37" s="40"/>
      <c r="O37" s="398"/>
      <c r="P37" s="399"/>
      <c r="Q37" s="399"/>
      <c r="R37" s="399"/>
      <c r="S37" s="399"/>
      <c r="T37" s="399"/>
      <c r="U37" s="399"/>
      <c r="V37" s="399"/>
      <c r="W37" s="399"/>
      <c r="X37" s="399"/>
      <c r="Y37" s="400"/>
      <c r="Z37" s="40"/>
      <c r="AA37" s="398"/>
      <c r="AB37" s="399"/>
      <c r="AC37" s="399"/>
      <c r="AD37" s="399"/>
      <c r="AE37" s="399"/>
      <c r="AF37" s="399"/>
      <c r="AG37" s="399"/>
      <c r="AH37" s="399"/>
      <c r="AI37" s="399"/>
      <c r="AJ37" s="399"/>
      <c r="AK37" s="399"/>
      <c r="AL37" s="400"/>
      <c r="AM37" s="44"/>
      <c r="AV37" s="230"/>
      <c r="AW37" s="230"/>
      <c r="AX37" s="231"/>
    </row>
    <row r="38" spans="1:120" ht="13.5" customHeight="1" thickBot="1">
      <c r="A38" s="39"/>
      <c r="B38" s="401"/>
      <c r="C38" s="402"/>
      <c r="D38" s="402"/>
      <c r="E38" s="402"/>
      <c r="F38" s="402"/>
      <c r="G38" s="402"/>
      <c r="H38" s="402"/>
      <c r="I38" s="402"/>
      <c r="J38" s="402"/>
      <c r="K38" s="402"/>
      <c r="L38" s="402"/>
      <c r="M38" s="403"/>
      <c r="N38" s="40"/>
      <c r="O38" s="401"/>
      <c r="P38" s="402"/>
      <c r="Q38" s="402"/>
      <c r="R38" s="402"/>
      <c r="S38" s="402"/>
      <c r="T38" s="402"/>
      <c r="U38" s="402"/>
      <c r="V38" s="402"/>
      <c r="W38" s="402"/>
      <c r="X38" s="402"/>
      <c r="Y38" s="403"/>
      <c r="Z38" s="40"/>
      <c r="AA38" s="401"/>
      <c r="AB38" s="402"/>
      <c r="AC38" s="402"/>
      <c r="AD38" s="402"/>
      <c r="AE38" s="402"/>
      <c r="AF38" s="402"/>
      <c r="AG38" s="402"/>
      <c r="AH38" s="402"/>
      <c r="AI38" s="402"/>
      <c r="AJ38" s="402"/>
      <c r="AK38" s="402"/>
      <c r="AL38" s="403"/>
      <c r="AM38" s="44"/>
      <c r="AV38" s="230"/>
      <c r="AW38" s="230"/>
      <c r="AX38" s="231"/>
    </row>
    <row r="39" spans="1:120" ht="13.5" thickBot="1">
      <c r="A39" s="41"/>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5"/>
      <c r="AV39" s="230"/>
      <c r="AW39" s="230"/>
      <c r="AX39" s="231"/>
    </row>
    <row r="40" spans="1:120" ht="63.75" customHeight="1" thickBot="1">
      <c r="A40" s="407" t="str">
        <f>CONCATENATE("La 1a Estrella el número ",TEXT(I19,"##0")," nos da la naturaleza y esencia como ser humano de ",C4)</f>
        <v>La 1a Estrella el número 8 nos da la naturaleza y esencia como ser humano de Roberto Zetina Peralta</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9"/>
      <c r="AV40" s="230"/>
      <c r="AW40" s="230"/>
      <c r="AX40" s="231"/>
      <c r="CF40" s="365" t="str">
        <f ca="1">IF(S77=1,'2a Estrella '!A2,IF(S77=2,'2a Estrella '!G2,IF(S77=3,'2a Estrella '!M2,IF(S77=4,'2a Estrella '!S2,IF(S77=5,'2a Estrella '!Y2,IF(S77=6,'2a Estrella '!AE2,IF(S77=7,'2a Estrella '!AK2,IF(S77=8,'2a Estrella '!AQ2,'2a Estrella '!AW2))))))))</f>
        <v>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v>
      </c>
      <c r="CG40" s="366"/>
      <c r="CH40" s="366"/>
      <c r="CI40" s="366"/>
      <c r="CJ40" s="366"/>
      <c r="CK40" s="366"/>
      <c r="CL40" s="366"/>
      <c r="CM40" s="366"/>
      <c r="CN40" s="366"/>
      <c r="CO40" s="367"/>
      <c r="DD40" s="365" t="str">
        <f ca="1">IF(AE77=1,'3a Estrella'!A2,IF(AE77=2,'3a Estrella'!G2,IF(AE77=3,'3a Estrella'!M2,IF(AE77=4,'3a Estrella'!S2,IF(AE77=5,'3a Estrella'!Y2,IF(AE77=6,'3a Estrella'!AE2,IF(AE77=7,'3a Estrella'!AK2,IF(AE77=8,'3a Estrella'!AQ2,'3a Estrella'!AW2))))))))</f>
        <v>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v>
      </c>
      <c r="DE40" s="366"/>
      <c r="DF40" s="366"/>
      <c r="DG40" s="366"/>
      <c r="DH40" s="366"/>
      <c r="DI40" s="366"/>
      <c r="DJ40" s="366"/>
      <c r="DK40" s="366"/>
      <c r="DL40" s="366"/>
      <c r="DM40" s="367"/>
    </row>
    <row r="41" spans="1:120" ht="84.95" customHeight="1" thickBot="1">
      <c r="A41" s="39"/>
      <c r="B41" s="379" t="str">
        <f>IF(G77=1,'1a estrella'!A2,IF(G77=2,'1a estrella'!G2,IF(G77=3,'1a estrella'!M2,IF(G77=4,'1a estrella'!S2,IF(G77=5,'1a estrella'!Y2,IF(G77=6,'1a estrella'!AE2,IF(G77=7,'1a estrella'!AK2,IF(G77=8,'1a estrella'!AQ2,'1a estrella'!AW2))))))))</f>
        <v>Su trigrama es Ken, significa montaña y representa al hijo menor. Su energía es yang, lo que le da la fortaleza y explosividad de la montaña. Ambos conceptos están escondidos dentro de la tranquilidad y la quietud de la montaña. Se les describe como la contemplación, la etapa de transición hacía un resurgimiento. Son personas con gran facilidad para acumular abundancia; son lentos pero su perseverancia los lleva a aprender a través de sus experiencias. Su apariencia denota fortaleza y estabilidad, sin embargo, su aspecto negativo es la explosividad y violencia que pueden manifestar cuando algo les irrita. Son personas con fuertes reservas de energía; se muestran  reservados y fríos hacia la sociedad; son excelentes argumentadores, es difícil hacerlos cambiar de posición. Son claros y decididos, tienen un gran sentido de la justicia y generadores de cambio, proveedores, metódicos y bien fundamentados leales, equilibrados y fieles. Ocultan sus sentimientos y emociones; son confiables, se preocupan por los demás y no se adaptan fácilmente a los cambios; son muy conservadores.</v>
      </c>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1"/>
      <c r="AM41" s="44"/>
      <c r="AV41" s="230"/>
      <c r="AW41" s="230"/>
      <c r="AX41" s="231"/>
      <c r="CF41" s="370" t="str">
        <f>IF($G$77=1,'1a estrella'!A6,IF($G$77=2,'1a estrella'!G6,IF($G$77=3,'1a estrella'!M6,IF($G$77=4,'1a estrella'!S6,IF($G$77=5,'1a estrella'!Y6,IF($G$77=6,'1a estrella'!AE6,IF($G$77=7,'1a estrella'!AK6,IF($G$77=8,'1a estrella'!AQ6,'1a estrella'!AW6))))))))</f>
        <v>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v>
      </c>
      <c r="CG41" s="371"/>
      <c r="CH41" s="371"/>
      <c r="CI41" s="371"/>
      <c r="CJ41" s="371"/>
      <c r="CK41" s="371"/>
      <c r="CL41" s="371"/>
      <c r="CM41" s="371"/>
      <c r="CN41" s="371"/>
      <c r="CO41" s="372"/>
      <c r="CQ41" s="152" t="s">
        <v>292</v>
      </c>
      <c r="CR41" s="473" t="str">
        <f>IF(VLOOKUP(CONCATENATE(LOOKUP(C8,Horóscopo!K4:L111,Horóscopo!A4:A111),R7),Ascendente!A25:D162,1)=CONCATENATE(LOOKUP(C8,Horóscopo!K4:L111,Horóscopo!A4:A111),R7),VLOOKUP(CONCATENATE(LOOKUP(C8,Horóscopo!K4:L111,Horóscopo!A4:A111),R7),Ascendente!A25:D162,4),"NO EXISTE INCOMPATIBILIDAD")</f>
        <v>NO EXISTE INCOMPATIBILIDAD CON EL ASCENDENTE</v>
      </c>
      <c r="CS41" s="474"/>
      <c r="CT41" s="474"/>
      <c r="CU41" s="474"/>
      <c r="CV41" s="474"/>
      <c r="CW41" s="474"/>
      <c r="CX41" s="474"/>
      <c r="CY41" s="474"/>
      <c r="CZ41" s="474"/>
      <c r="DA41" s="475"/>
      <c r="DC41" s="158" t="str">
        <f>CONCATENATE("CARACTERÍSTICAS DE LAS PERSONAS CON ESTE ASCENDENTE ''",R7,"''")</f>
        <v>CARACTERÍSTICAS DE LAS PERSONAS CON ESTE ASCENDENTE ''Búfalo''</v>
      </c>
      <c r="DD41" s="470" t="str">
        <f>VLOOKUP(R7,Ascendente!C165:D176,2)</f>
        <v>La tierra yin hace que este compañero de ruta imprima estabilidad al signo del año. Produce trabajadores confiables y responsables, pero con pocas posibilidades de sobresalir. Los signos que se benefician de este compañero de ruta son el búfalo, la serpiente y el mono. Es difícil para la cabra, produce soltería en el gallo, el dragón y en el tigre. En cambio dota de paciencia al resto del zodíaco.</v>
      </c>
      <c r="DE41" s="471"/>
      <c r="DF41" s="471"/>
      <c r="DG41" s="471"/>
      <c r="DH41" s="471"/>
      <c r="DI41" s="471"/>
      <c r="DJ41" s="471"/>
      <c r="DK41" s="471"/>
      <c r="DL41" s="471"/>
      <c r="DM41" s="472"/>
    </row>
    <row r="42" spans="1:120" ht="84.95" customHeight="1">
      <c r="A42" s="39"/>
      <c r="B42" s="376" t="str">
        <f>IF($G$77=1,'1a estrella'!A6,IF($G$77=2,'1a estrella'!G6,IF($G$77=3,'1a estrella'!M6,IF($G$77=4,'1a estrella'!S6,IF($G$77=5,'1a estrella'!Y6,IF($G$77=6,'1a estrella'!AE6,IF($G$77=7,'1a estrella'!AK6,IF($G$77=8,'1a estrella'!AQ6,'1a estrella'!AW6))))))))</f>
        <v>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v>
      </c>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8"/>
      <c r="AM42" s="44"/>
      <c r="AV42" s="230"/>
      <c r="AW42" s="230"/>
      <c r="AX42" s="231"/>
    </row>
    <row r="43" spans="1:120" ht="84.95" customHeight="1">
      <c r="A43" s="39"/>
      <c r="B43" s="376" t="str">
        <f>IF($G$77=1,'1a estrella'!A10,IF($G$77=2,'1a estrella'!G10,IF($G$77=3,'1a estrella'!M10,IF($G$77=4,'1a estrella'!S10,IF($G$77=5,'1a estrella'!Y10,IF($G$77=6,'1a estrella'!AE10,IF($G$77=7,'1a estrella'!AK10,IF($G$77=8,'1a estrella'!AQ10,'1a estrella'!AW10))))))))</f>
        <v xml:space="preserve"> </v>
      </c>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8"/>
      <c r="AM43" s="44"/>
      <c r="AV43" s="230"/>
      <c r="AW43" s="230"/>
      <c r="AX43" s="231"/>
    </row>
    <row r="44" spans="1:120" ht="84.95" customHeight="1" thickBot="1">
      <c r="A44" s="39"/>
      <c r="B44" s="376" t="str">
        <f>IF($G$77=1,'1a estrella'!A14,IF($G$77=2,'1a estrella'!G14,IF($G$77=3,'1a estrella'!M14,IF($G$77=4,'1a estrella'!S14,IF($G$77=5,'1a estrella'!Y14,IF($G$77=6,'1a estrella'!AE14,IF($G$77=7,'1a estrella'!AK14,IF($G$77=8,'1a estrella'!AQ14,'1a estrella'!AW14))))))))</f>
        <v xml:space="preserve"> </v>
      </c>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8"/>
      <c r="AM44" s="44"/>
      <c r="AV44" s="230"/>
      <c r="AW44" s="230"/>
      <c r="AX44" s="231"/>
    </row>
    <row r="45" spans="1:120" ht="63.75" customHeight="1" thickBot="1">
      <c r="A45" s="39"/>
      <c r="B45" s="407" t="str">
        <f ca="1">CONCATENATE("La 2a Estrella, el número ",TEXT(U19,"##0")," nos muestra el caracter como ser humano de          ",C4)</f>
        <v>La 2a Estrella, el número 1 nos muestra el caracter como ser humano de          Roberto Zetina Peralta</v>
      </c>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c r="AG45" s="408"/>
      <c r="AH45" s="408"/>
      <c r="AI45" s="408"/>
      <c r="AJ45" s="408"/>
      <c r="AK45" s="408"/>
      <c r="AL45" s="409"/>
      <c r="AM45" s="44"/>
      <c r="AV45" s="230"/>
      <c r="AW45" s="230"/>
      <c r="AX45" s="231"/>
      <c r="CF45" s="365">
        <f>IF(S81=1,'2a Estrella '!A6,IF(S81=2,'2a Estrella '!G6,IF(S81=3,'2a Estrella '!M6,IF(S81=4,'2a Estrella '!S6,IF(S81=5,'2a Estrella '!Y6,IF(S81=6,'2a Estrella '!AE6,IF(S81=7,'2a Estrella '!AK6,IF(S81=8,'2a Estrella '!AQ6,'2a Estrella '!AW6))))))))</f>
        <v>0</v>
      </c>
      <c r="CG45" s="366"/>
      <c r="CH45" s="366"/>
      <c r="CI45" s="366"/>
      <c r="CJ45" s="366"/>
      <c r="CK45" s="366"/>
      <c r="CL45" s="366"/>
      <c r="CM45" s="366"/>
      <c r="CN45" s="366"/>
      <c r="CO45" s="367"/>
      <c r="DD45" s="365">
        <f>IF(AF81=1,'3a Estrella'!A6,IF(AF81=2,'3a Estrella'!G6,IF(AF81=3,'3a Estrella'!M6,IF(AF81=4,'3a Estrella'!S6,IF(AF81=5,'3a Estrella'!Y6,IF(AF81=6,'3a Estrella'!AE6,IF(AF81=7,'3a Estrella'!AK6,IF(AF81=8,'3a Estrella'!AQ6,'3a Estrella'!AW6))))))))</f>
        <v>0</v>
      </c>
      <c r="DE45" s="366"/>
      <c r="DF45" s="366"/>
      <c r="DG45" s="366"/>
      <c r="DH45" s="366"/>
      <c r="DI45" s="366"/>
      <c r="DJ45" s="366"/>
      <c r="DK45" s="366"/>
      <c r="DL45" s="366"/>
      <c r="DM45" s="367"/>
    </row>
    <row r="46" spans="1:120" ht="84.95" customHeight="1" thickBot="1">
      <c r="A46" s="39"/>
      <c r="B46" s="379" t="str">
        <f ca="1">IF(S77=1,'2a Estrella '!A2,IF(S77=2,'2a Estrella '!G2,IF(S77=3,'2a Estrella '!M2,IF(S77=4,'2a Estrella '!S2,IF(S77=5,'2a Estrella '!Y2,IF(S77=6,'2a Estrella '!AE2,IF(S77=7,'2a Estrella '!AK2,IF(S77=8,'2a Estrella '!AQ2,'2a Estrella '!AW2))))))))</f>
        <v>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1"/>
      <c r="AM46" s="44"/>
      <c r="AV46" s="230"/>
      <c r="AW46" s="230"/>
      <c r="AX46" s="231"/>
      <c r="CF46" s="370" t="str">
        <f>IF($G$77=1,'1a estrella'!A10,IF($G$77=2,'1a estrella'!G10,IF($G$77=3,'1a estrella'!M10,IF($G$77=4,'1a estrella'!S10,IF($G$77=5,'1a estrella'!Y10,IF($G$77=6,'1a estrella'!AE10,IF($G$77=7,'1a estrella'!AK10,IF($G$77=8,'1a estrella'!AQ10,'1a estrella'!AW10))))))))</f>
        <v xml:space="preserve"> </v>
      </c>
      <c r="CG46" s="371"/>
      <c r="CH46" s="371"/>
      <c r="CI46" s="371"/>
      <c r="CJ46" s="371"/>
      <c r="CK46" s="371"/>
      <c r="CL46" s="371"/>
      <c r="CM46" s="371"/>
      <c r="CN46" s="371"/>
      <c r="CO46" s="372"/>
      <c r="CQ46" s="152" t="s">
        <v>292</v>
      </c>
      <c r="CR46" s="473" t="e">
        <f>IF(VLOOKUP(CONCATENATE(LOOKUP(C11,Horóscopo!K8:L115,Horóscopo!A8:A115),#REF!),Ascendente!A51:D166,1)=CONCATENATE(LOOKUP(C11,Horóscopo!K8:L115,Horóscopo!A8:A115),#REF!),VLOOKUP(CONCATENATE(LOOKUP(C11,Horóscopo!K8:L115,Horóscopo!A8:A115),#REF!),Ascendente!A51:D166,4),"NO EXISTE INCOMPATIBILIDAD")</f>
        <v>#N/A</v>
      </c>
      <c r="CS46" s="474"/>
      <c r="CT46" s="474"/>
      <c r="CU46" s="474"/>
      <c r="CV46" s="474"/>
      <c r="CW46" s="474"/>
      <c r="CX46" s="474"/>
      <c r="CY46" s="474"/>
      <c r="CZ46" s="474"/>
      <c r="DA46" s="475"/>
      <c r="DC46" s="158" t="e">
        <f>CONCATENATE("CARACTERÍSTICAS DE LAS PERSONAS CON ESTE ASCENDENTE ''",#REF!,"''")</f>
        <v>#REF!</v>
      </c>
      <c r="DD46" s="470" t="e">
        <f>VLOOKUP(#REF!,Ascendente!C169:D180,2)</f>
        <v>#REF!</v>
      </c>
      <c r="DE46" s="471"/>
      <c r="DF46" s="471"/>
      <c r="DG46" s="471"/>
      <c r="DH46" s="471"/>
      <c r="DI46" s="471"/>
      <c r="DJ46" s="471"/>
      <c r="DK46" s="471"/>
      <c r="DL46" s="471"/>
      <c r="DM46" s="472"/>
    </row>
    <row r="47" spans="1:120" ht="63.75" customHeight="1" thickBot="1">
      <c r="A47" s="39"/>
      <c r="B47" s="404" t="str">
        <f ca="1">CONCATENATE("La 3a Estrella, el número ",TEXT(AG19,"##0")," nos muestra la misión en la vida y los aspectos que debe trabajar como ser humano ",C4)</f>
        <v>La 3a Estrella, el número 4 nos muestra la misión en la vida y los aspectos que debe trabajar como ser humano Roberto Zetina Peralta</v>
      </c>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405"/>
      <c r="AL47" s="406"/>
      <c r="AM47" s="44"/>
      <c r="CI47" s="365">
        <f>IF(S84=1,'2a Estrella '!A9,IF(S84=2,'2a Estrella '!G9,IF(S84=3,'2a Estrella '!M9,IF(S84=4,'2a Estrella '!S9,IF(S84=5,'2a Estrella '!Y9,IF(S84=6,'2a Estrella '!AE9,IF(S84=7,'2a Estrella '!AK9,IF(S84=8,'2a Estrella '!AQ9,'2a Estrella '!AW9))))))))</f>
        <v>0</v>
      </c>
      <c r="CJ47" s="366"/>
      <c r="CK47" s="366"/>
      <c r="CL47" s="366"/>
      <c r="CM47" s="366"/>
      <c r="CN47" s="366"/>
      <c r="CO47" s="366"/>
      <c r="CP47" s="366"/>
      <c r="CQ47" s="366"/>
      <c r="CR47" s="367"/>
      <c r="DG47" s="365">
        <f>IF(AF84=1,'3a Estrella'!A9,IF(AF84=2,'3a Estrella'!G9,IF(AF84=3,'3a Estrella'!M9,IF(AF84=4,'3a Estrella'!S9,IF(AF84=5,'3a Estrella'!Y9,IF(AF84=6,'3a Estrella'!AE9,IF(AF84=7,'3a Estrella'!AK9,IF(AF84=8,'3a Estrella'!AQ9,'3a Estrella'!AW9))))))))</f>
        <v>0</v>
      </c>
      <c r="DH47" s="366"/>
      <c r="DI47" s="366"/>
      <c r="DJ47" s="366"/>
      <c r="DK47" s="366"/>
      <c r="DL47" s="366"/>
      <c r="DM47" s="366"/>
      <c r="DN47" s="366"/>
      <c r="DO47" s="366"/>
      <c r="DP47" s="367"/>
    </row>
    <row r="48" spans="1:120" ht="60" customHeight="1" thickBot="1">
      <c r="A48" s="41"/>
      <c r="B48" s="337" t="str">
        <f ca="1">IF(AE77=1,'3a Estrella'!A2,IF(AE77=2,'3a Estrella'!G2,IF(AE77=3,'3a Estrella'!M2,IF(AE77=4,'3a Estrella'!S2,IF(AE77=5,'3a Estrella'!Y2,IF(AE77=6,'3a Estrella'!AE2,IF(AE77=7,'3a Estrella'!AK2,IF(AE77=8,'3a Estrella'!AQ2,'3a Estrella'!AW2))))))))</f>
        <v>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v>
      </c>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39"/>
      <c r="AM48" s="45"/>
      <c r="CI48" s="370">
        <f>IF($G$77=1,'1a estrella'!A13,IF($G$77=2,'1a estrella'!G13,IF($G$77=3,'1a estrella'!M13,IF($G$77=4,'1a estrella'!S13,IF($G$77=5,'1a estrella'!Y13,IF($G$77=6,'1a estrella'!AE13,IF($G$77=7,'1a estrella'!AK13,IF($G$77=8,'1a estrella'!AQ13,'1a estrella'!AW13))))))))</f>
        <v>0</v>
      </c>
      <c r="CJ48" s="371"/>
      <c r="CK48" s="371"/>
      <c r="CL48" s="371"/>
      <c r="CM48" s="371"/>
      <c r="CN48" s="371"/>
      <c r="CO48" s="371"/>
      <c r="CP48" s="371"/>
      <c r="CQ48" s="371"/>
      <c r="CR48" s="372"/>
      <c r="CT48" s="152" t="s">
        <v>292</v>
      </c>
      <c r="CU48" s="473" t="e">
        <f>IF(VLOOKUP(CONCATENATE(LOOKUP(C14,Horóscopo!K11:L118,Horóscopo!A11:A118),R13),Ascendente!A104:D169,1)=CONCATENATE(LOOKUP(C14,Horóscopo!K11:L118,Horóscopo!A11:A118),R13),VLOOKUP(CONCATENATE(LOOKUP(C14,Horóscopo!K11:L118,Horóscopo!A11:A118),R13),Ascendente!A104:D169,4),"NO EXISTE INCOMPATIBILIDAD")</f>
        <v>#N/A</v>
      </c>
      <c r="CV48" s="474"/>
      <c r="CW48" s="474"/>
      <c r="CX48" s="474"/>
      <c r="CY48" s="474"/>
      <c r="CZ48" s="474"/>
      <c r="DA48" s="474"/>
      <c r="DB48" s="474"/>
      <c r="DC48" s="474"/>
      <c r="DD48" s="475"/>
      <c r="DF48" s="158" t="str">
        <f>CONCATENATE("CARACTERÍSTICAS DE LAS PERSONAS CON ESTE ASCENDENTE ''",R13,"''")</f>
        <v>CARACTERÍSTICAS DE LAS PERSONAS CON ESTE ASCENDENTE ''''</v>
      </c>
      <c r="DG48" s="470" t="e">
        <f>VLOOKUP(R13,Ascendente!C172:D183,2)</f>
        <v>#N/A</v>
      </c>
      <c r="DH48" s="471"/>
      <c r="DI48" s="471"/>
      <c r="DJ48" s="471"/>
      <c r="DK48" s="471"/>
      <c r="DL48" s="471"/>
      <c r="DM48" s="471"/>
      <c r="DN48" s="471"/>
      <c r="DO48" s="471"/>
      <c r="DP48" s="472"/>
    </row>
    <row r="49" spans="1:120" ht="63.75" customHeight="1" thickBot="1">
      <c r="A49" s="37"/>
      <c r="B49" s="382" t="str">
        <f>CONCATENATE("OTRAS CARACTERÍSTICAS DE LA GENTE ''",LOOKUP(C8,Horóscopo!K4:L123,Horóscopo!A4:A123),"''")</f>
        <v>OTRAS CARACTERÍSTICAS DE LA GENTE ''Jabalí''</v>
      </c>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4"/>
      <c r="AM49" s="43"/>
      <c r="CI49" s="365">
        <f>IF(S86=1,'2a Estrella '!A11,IF(S86=2,'2a Estrella '!G11,IF(S86=3,'2a Estrella '!M11,IF(S86=4,'2a Estrella '!S11,IF(S86=5,'2a Estrella '!Y11,IF(S86=6,'2a Estrella '!AE11,IF(S86=7,'2a Estrella '!AK11,IF(S86=8,'2a Estrella '!AQ11,'2a Estrella '!AW11))))))))</f>
        <v>0</v>
      </c>
      <c r="CJ49" s="366"/>
      <c r="CK49" s="366"/>
      <c r="CL49" s="366"/>
      <c r="CM49" s="366"/>
      <c r="CN49" s="366"/>
      <c r="CO49" s="366"/>
      <c r="CP49" s="366"/>
      <c r="CQ49" s="366"/>
      <c r="CR49" s="367"/>
      <c r="DG49" s="365">
        <f>IF(AF86=1,'3a Estrella'!A11,IF(AF86=2,'3a Estrella'!G11,IF(AF86=3,'3a Estrella'!M11,IF(AF86=4,'3a Estrella'!S11,IF(AF86=5,'3a Estrella'!Y11,IF(AF86=6,'3a Estrella'!AE11,IF(AF86=7,'3a Estrella'!AK11,IF(AF86=8,'3a Estrella'!AQ11,'3a Estrella'!AW11))))))))</f>
        <v>0</v>
      </c>
      <c r="DH49" s="366"/>
      <c r="DI49" s="366"/>
      <c r="DJ49" s="366"/>
      <c r="DK49" s="366"/>
      <c r="DL49" s="366"/>
      <c r="DM49" s="366"/>
      <c r="DN49" s="366"/>
      <c r="DO49" s="366"/>
      <c r="DP49" s="367"/>
    </row>
    <row r="50" spans="1:120" ht="84.95" customHeight="1" thickBot="1">
      <c r="A50" s="39"/>
      <c r="B50" s="379" t="str">
        <f>+'Signo Resultado'!B9</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1"/>
      <c r="AM50" s="44"/>
    </row>
    <row r="51" spans="1:120" ht="84.95" customHeight="1" thickBot="1">
      <c r="A51" s="39"/>
      <c r="B51" s="376" t="str">
        <f>+'Signo Resultado'!M9</f>
        <v>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v>
      </c>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8"/>
      <c r="AM51" s="44"/>
      <c r="CI51" s="370"/>
      <c r="CJ51" s="371"/>
      <c r="CK51" s="371"/>
      <c r="CL51" s="371"/>
      <c r="CM51" s="371"/>
      <c r="CN51" s="371"/>
      <c r="CO51" s="371"/>
      <c r="CP51" s="371"/>
      <c r="CQ51" s="371"/>
      <c r="CR51" s="372"/>
      <c r="CT51" s="152"/>
      <c r="CU51" s="473"/>
      <c r="CV51" s="474"/>
      <c r="CW51" s="474"/>
      <c r="CX51" s="474"/>
      <c r="CY51" s="474"/>
      <c r="CZ51" s="474"/>
      <c r="DA51" s="474"/>
      <c r="DB51" s="474"/>
      <c r="DC51" s="474"/>
      <c r="DD51" s="475"/>
      <c r="DF51" s="158"/>
      <c r="DG51" s="470"/>
      <c r="DH51" s="471"/>
      <c r="DI51" s="471"/>
      <c r="DJ51" s="471"/>
      <c r="DK51" s="471"/>
      <c r="DL51" s="471"/>
      <c r="DM51" s="471"/>
      <c r="DN51" s="471"/>
      <c r="DO51" s="471"/>
      <c r="DP51" s="472"/>
    </row>
    <row r="52" spans="1:120" ht="60" customHeight="1" thickBot="1">
      <c r="A52" s="39"/>
      <c r="B52" s="373" t="str">
        <f>+'Signo Resultado'!X9</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C52" s="374"/>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5"/>
      <c r="AM52" s="44"/>
      <c r="CI52" s="370"/>
      <c r="CJ52" s="371"/>
      <c r="CK52" s="371"/>
      <c r="CL52" s="371"/>
      <c r="CM52" s="371"/>
      <c r="CN52" s="371"/>
      <c r="CO52" s="371"/>
      <c r="CP52" s="371"/>
      <c r="CQ52" s="371"/>
      <c r="CR52" s="372"/>
      <c r="CT52" s="152"/>
      <c r="CU52" s="473"/>
      <c r="CV52" s="474"/>
      <c r="CW52" s="474"/>
      <c r="CX52" s="474"/>
      <c r="CY52" s="474"/>
      <c r="CZ52" s="474"/>
      <c r="DA52" s="474"/>
      <c r="DB52" s="474"/>
      <c r="DC52" s="474"/>
      <c r="DD52" s="475"/>
      <c r="DF52" s="158"/>
      <c r="DG52" s="470"/>
      <c r="DH52" s="471"/>
      <c r="DI52" s="471"/>
      <c r="DJ52" s="471"/>
      <c r="DK52" s="471"/>
      <c r="DL52" s="471"/>
      <c r="DM52" s="471"/>
      <c r="DN52" s="471"/>
      <c r="DO52" s="471"/>
      <c r="DP52" s="472"/>
    </row>
    <row r="53" spans="1:120" ht="63.75" customHeight="1" thickBot="1">
      <c r="A53" s="39"/>
      <c r="B53" s="492" t="s">
        <v>353</v>
      </c>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4"/>
      <c r="AM53" s="44"/>
      <c r="CI53" s="365">
        <f>IF(S87=1,'2a Estrella '!A12,IF(S87=2,'2a Estrella '!G12,IF(S87=3,'2a Estrella '!M12,IF(S87=4,'2a Estrella '!S12,IF(S87=5,'2a Estrella '!Y12,IF(S87=6,'2a Estrella '!AE12,IF(S87=7,'2a Estrella '!AK12,IF(S87=8,'2a Estrella '!AQ12,'2a Estrella '!AW12))))))))</f>
        <v>0</v>
      </c>
      <c r="CJ53" s="366"/>
      <c r="CK53" s="366"/>
      <c r="CL53" s="366"/>
      <c r="CM53" s="366"/>
      <c r="CN53" s="366"/>
      <c r="CO53" s="366"/>
      <c r="CP53" s="366"/>
      <c r="CQ53" s="366"/>
      <c r="CR53" s="367"/>
      <c r="DG53" s="365">
        <f>IF(AF87=1,'3a Estrella'!A12,IF(AF87=2,'3a Estrella'!G12,IF(AF87=3,'3a Estrella'!M12,IF(AF87=4,'3a Estrella'!S12,IF(AF87=5,'3a Estrella'!Y12,IF(AF87=6,'3a Estrella'!AE12,IF(AF87=7,'3a Estrella'!AK12,IF(AF87=8,'3a Estrella'!AQ12,'3a Estrella'!AW12))))))))</f>
        <v>0</v>
      </c>
      <c r="DH53" s="366"/>
      <c r="DI53" s="366"/>
      <c r="DJ53" s="366"/>
      <c r="DK53" s="366"/>
      <c r="DL53" s="366"/>
      <c r="DM53" s="366"/>
      <c r="DN53" s="366"/>
      <c r="DO53" s="366"/>
      <c r="DP53" s="367"/>
    </row>
    <row r="54" spans="1:120" ht="34.5" customHeight="1" thickBot="1">
      <c r="A54" s="39"/>
      <c r="B54" s="486" t="s">
        <v>4</v>
      </c>
      <c r="C54" s="487"/>
      <c r="D54" s="487"/>
      <c r="E54" s="487"/>
      <c r="F54" s="487"/>
      <c r="G54" s="487"/>
      <c r="H54" s="487"/>
      <c r="I54" s="487"/>
      <c r="J54" s="487"/>
      <c r="K54" s="487"/>
      <c r="L54" s="487"/>
      <c r="M54" s="487"/>
      <c r="N54" s="487"/>
      <c r="O54" s="487"/>
      <c r="P54" s="487"/>
      <c r="Q54" s="487"/>
      <c r="R54" s="487"/>
      <c r="S54" s="488"/>
      <c r="T54" s="40"/>
      <c r="U54" s="486" t="str">
        <f>CONCATENATE("CARACTERÍSTICAS DE LAS PERSONAS ",R5," CON ESTE ASCENDENTE ''",R7,"''")</f>
        <v>CARACTERÍSTICAS DE LAS PERSONAS Jabalí de Fuego CON ESTE ASCENDENTE ''Búfalo''</v>
      </c>
      <c r="V54" s="487"/>
      <c r="W54" s="487"/>
      <c r="X54" s="487"/>
      <c r="Y54" s="487"/>
      <c r="Z54" s="487"/>
      <c r="AA54" s="487"/>
      <c r="AB54" s="487"/>
      <c r="AC54" s="487"/>
      <c r="AD54" s="487"/>
      <c r="AE54" s="487"/>
      <c r="AF54" s="487"/>
      <c r="AG54" s="487"/>
      <c r="AH54" s="487"/>
      <c r="AI54" s="487"/>
      <c r="AJ54" s="487"/>
      <c r="AK54" s="487"/>
      <c r="AL54" s="488"/>
      <c r="AM54" s="44"/>
    </row>
    <row r="55" spans="1:120" ht="76.5" customHeight="1" thickBot="1">
      <c r="A55" s="39"/>
      <c r="B55" s="473" t="str">
        <f>VLOOKUP(CONCATENATE(LOOKUP(C8,Horóscopo!K4:L123,Horóscopo!A4:A123),VLOOKUP(L7,Ascendente!A2:C15,3)),Ascendente!A19:D162,4)</f>
        <v>NO EXISTE INCOMPATIBILIDAD CON EL ASCENDENTE</v>
      </c>
      <c r="C55" s="498"/>
      <c r="D55" s="498"/>
      <c r="E55" s="498"/>
      <c r="F55" s="498"/>
      <c r="G55" s="498"/>
      <c r="H55" s="498"/>
      <c r="I55" s="498"/>
      <c r="J55" s="498"/>
      <c r="K55" s="498"/>
      <c r="L55" s="498"/>
      <c r="M55" s="498"/>
      <c r="N55" s="498"/>
      <c r="O55" s="498"/>
      <c r="P55" s="498"/>
      <c r="Q55" s="498"/>
      <c r="R55" s="498"/>
      <c r="S55" s="499"/>
      <c r="T55" s="40"/>
      <c r="U55" s="489" t="str">
        <f>VLOOKUP(R7,Ascendente!C165:D176,2)</f>
        <v>La tierra yin hace que este compañero de ruta imprima estabilidad al signo del año. Produce trabajadores confiables y responsables, pero con pocas posibilidades de sobresalir. Los signos que se benefician de este compañero de ruta son el búfalo, la serpiente y el mono. Es difícil para la cabra, produce soltería en el gallo, el dragón y en el tigre. En cambio dota de paciencia al resto del zodíaco.</v>
      </c>
      <c r="V55" s="490"/>
      <c r="W55" s="490"/>
      <c r="X55" s="490"/>
      <c r="Y55" s="490"/>
      <c r="Z55" s="490"/>
      <c r="AA55" s="490"/>
      <c r="AB55" s="490"/>
      <c r="AC55" s="490"/>
      <c r="AD55" s="490"/>
      <c r="AE55" s="490"/>
      <c r="AF55" s="490"/>
      <c r="AG55" s="490"/>
      <c r="AH55" s="490"/>
      <c r="AI55" s="490"/>
      <c r="AJ55" s="490"/>
      <c r="AK55" s="490"/>
      <c r="AL55" s="491"/>
      <c r="AM55" s="44"/>
    </row>
    <row r="56" spans="1:120" ht="13.5" thickBot="1">
      <c r="A56" s="41"/>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5"/>
    </row>
    <row r="57" spans="1:120" ht="27" customHeight="1" thickBot="1">
      <c r="A57" s="37"/>
      <c r="B57" s="483" t="s">
        <v>19</v>
      </c>
      <c r="C57" s="484"/>
      <c r="D57" s="484"/>
      <c r="E57" s="484"/>
      <c r="F57" s="484"/>
      <c r="G57" s="484"/>
      <c r="H57" s="484"/>
      <c r="I57" s="484"/>
      <c r="J57" s="484"/>
      <c r="K57" s="484"/>
      <c r="L57" s="484"/>
      <c r="M57" s="484"/>
      <c r="N57" s="484"/>
      <c r="O57" s="484"/>
      <c r="P57" s="484"/>
      <c r="Q57" s="484"/>
      <c r="R57" s="484"/>
      <c r="S57" s="484"/>
      <c r="T57" s="484"/>
      <c r="U57" s="484"/>
      <c r="V57" s="484"/>
      <c r="W57" s="484"/>
      <c r="X57" s="484"/>
      <c r="Y57" s="484"/>
      <c r="Z57" s="484"/>
      <c r="AA57" s="484"/>
      <c r="AB57" s="484"/>
      <c r="AC57" s="484"/>
      <c r="AD57" s="484"/>
      <c r="AE57" s="484"/>
      <c r="AF57" s="484"/>
      <c r="AG57" s="484"/>
      <c r="AH57" s="484"/>
      <c r="AI57" s="484"/>
      <c r="AJ57" s="484"/>
      <c r="AK57" s="484"/>
      <c r="AL57" s="485"/>
      <c r="AM57" s="43"/>
    </row>
    <row r="58" spans="1:120">
      <c r="A58" s="3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4"/>
    </row>
    <row r="59" spans="1:120" ht="16.5" customHeight="1" thickBot="1">
      <c r="A59" s="39"/>
      <c r="B59" s="503" t="s">
        <v>41</v>
      </c>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5"/>
      <c r="AM59" s="44"/>
    </row>
    <row r="60" spans="1:120" ht="94.5" customHeight="1" thickBot="1">
      <c r="A60" s="39"/>
      <c r="B60" s="337" t="str">
        <f>+'Compativilidad de Pareja'!I7</f>
        <v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v>
      </c>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s="338"/>
      <c r="AG60" s="338"/>
      <c r="AH60" s="338"/>
      <c r="AI60" s="338"/>
      <c r="AJ60" s="338"/>
      <c r="AK60" s="338"/>
      <c r="AL60" s="339"/>
      <c r="AM60" s="44"/>
    </row>
    <row r="61" spans="1:120" ht="13.5" thickBot="1">
      <c r="A61" s="39"/>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4"/>
    </row>
    <row r="62" spans="1:120" ht="13.5" thickBot="1">
      <c r="A62" s="39"/>
      <c r="B62" s="337" t="str">
        <f>+'Compativilidad de Pareja'!J7</f>
        <v>A continuación les damos un mayor apoyo en función de los elementos en la relación con respecto al amor, al sexo y al romance en una relación sentimental.</v>
      </c>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Z62" s="338"/>
      <c r="AA62" s="338"/>
      <c r="AB62" s="338"/>
      <c r="AC62" s="338"/>
      <c r="AD62" s="338"/>
      <c r="AE62" s="338"/>
      <c r="AF62" s="338"/>
      <c r="AG62" s="338"/>
      <c r="AH62" s="338"/>
      <c r="AI62" s="338"/>
      <c r="AJ62" s="338"/>
      <c r="AK62" s="338"/>
      <c r="AL62" s="339"/>
      <c r="AM62" s="44"/>
    </row>
    <row r="63" spans="1:120" ht="13.5" thickBot="1">
      <c r="A63" s="39"/>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4"/>
    </row>
    <row r="64" spans="1:120" ht="16.5" thickBot="1">
      <c r="A64" s="39"/>
      <c r="B64" s="340" t="s">
        <v>57</v>
      </c>
      <c r="C64" s="341"/>
      <c r="D64" s="341"/>
      <c r="E64" s="341"/>
      <c r="F64" s="341"/>
      <c r="G64" s="341"/>
      <c r="H64" s="341"/>
      <c r="I64" s="341"/>
      <c r="J64" s="341"/>
      <c r="K64" s="341"/>
      <c r="L64" s="341"/>
      <c r="M64" s="341"/>
      <c r="N64" s="341"/>
      <c r="O64" s="341"/>
      <c r="P64" s="341"/>
      <c r="Q64" s="341"/>
      <c r="R64" s="341"/>
      <c r="S64" s="342"/>
      <c r="T64" s="495" t="str">
        <f>UPPER('Compativilidad de Pareja'!H3)</f>
        <v>MADERA-TIERRA</v>
      </c>
      <c r="U64" s="496"/>
      <c r="V64" s="496"/>
      <c r="W64" s="496"/>
      <c r="X64" s="496"/>
      <c r="Y64" s="496"/>
      <c r="Z64" s="496"/>
      <c r="AA64" s="496"/>
      <c r="AB64" s="496"/>
      <c r="AC64" s="496"/>
      <c r="AD64" s="496"/>
      <c r="AE64" s="496"/>
      <c r="AF64" s="496"/>
      <c r="AG64" s="496"/>
      <c r="AH64" s="496"/>
      <c r="AI64" s="496"/>
      <c r="AJ64" s="496"/>
      <c r="AK64" s="496"/>
      <c r="AL64" s="497"/>
      <c r="AM64" s="44"/>
    </row>
    <row r="65" spans="1:39" ht="93" customHeight="1" thickBot="1">
      <c r="A65" s="39"/>
      <c r="B65" s="337" t="str">
        <f>+'Compativilidad de Pareja'!I3</f>
        <v>La impulsividad de la madera puede destruir el romanticismo de la tierra. Se atraen con mucha fuerza, pero les cuesta trabajo comunicarse.</v>
      </c>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9"/>
      <c r="AM65" s="44"/>
    </row>
    <row r="66" spans="1:39" ht="13.5" thickBot="1">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4"/>
    </row>
    <row r="67" spans="1:39" ht="16.5" customHeight="1" thickBot="1">
      <c r="A67" s="39"/>
      <c r="B67" s="512" t="str">
        <f>+'Compativilidad de Pareja'!E6</f>
        <v>PERSONALIDAD DE LA PAREJA</v>
      </c>
      <c r="C67" s="513"/>
      <c r="D67" s="513"/>
      <c r="E67" s="513"/>
      <c r="F67" s="513"/>
      <c r="G67" s="513"/>
      <c r="H67" s="513"/>
      <c r="I67" s="513"/>
      <c r="J67" s="513"/>
      <c r="K67" s="513"/>
      <c r="L67" s="514"/>
      <c r="M67" s="515"/>
      <c r="N67" s="40"/>
      <c r="O67" s="512" t="str">
        <f>+'Compativilidad de Pareja'!F6</f>
        <v>CARÁCTER DE LA PAREJA</v>
      </c>
      <c r="P67" s="513"/>
      <c r="Q67" s="513"/>
      <c r="R67" s="513"/>
      <c r="S67" s="513"/>
      <c r="T67" s="513"/>
      <c r="U67" s="513"/>
      <c r="V67" s="513"/>
      <c r="W67" s="513"/>
      <c r="X67" s="513"/>
      <c r="Y67" s="514"/>
      <c r="Z67" s="40"/>
      <c r="AA67" s="40"/>
      <c r="AB67" s="480" t="str">
        <f>+'Compativilidad de Pareja'!G6</f>
        <v>ENERGÍA DE LA PAREJA</v>
      </c>
      <c r="AC67" s="481"/>
      <c r="AD67" s="481"/>
      <c r="AE67" s="481"/>
      <c r="AF67" s="481"/>
      <c r="AG67" s="481"/>
      <c r="AH67" s="481"/>
      <c r="AI67" s="481"/>
      <c r="AJ67" s="481"/>
      <c r="AK67" s="481"/>
      <c r="AL67" s="482"/>
      <c r="AM67" s="44"/>
    </row>
    <row r="68" spans="1:39" ht="69.75" customHeight="1" thickBot="1">
      <c r="A68" s="39"/>
      <c r="B68" s="337" t="str">
        <f>+'Compativilidad de Pareja'!E3</f>
        <v>En personalidad ambos pueden llevar una buena relación si su pareja es respetuoso de la libertad y el espacio de usted.</v>
      </c>
      <c r="C68" s="338"/>
      <c r="D68" s="338"/>
      <c r="E68" s="338"/>
      <c r="F68" s="338"/>
      <c r="G68" s="338"/>
      <c r="H68" s="338"/>
      <c r="I68" s="338"/>
      <c r="J68" s="338"/>
      <c r="K68" s="338"/>
      <c r="L68" s="339"/>
      <c r="M68" s="515"/>
      <c r="N68" s="40"/>
      <c r="O68" s="500" t="str">
        <f ca="1">+'Compativilidad de Pareja'!F3</f>
        <v>En el carácter se divierten se apoyan y unen la creatividad de usted con la elegancia de su pareja.</v>
      </c>
      <c r="P68" s="501"/>
      <c r="Q68" s="501"/>
      <c r="R68" s="501"/>
      <c r="S68" s="501"/>
      <c r="T68" s="501"/>
      <c r="U68" s="501"/>
      <c r="V68" s="501"/>
      <c r="W68" s="501"/>
      <c r="X68" s="501"/>
      <c r="Y68" s="502"/>
      <c r="Z68" s="40"/>
      <c r="AA68" s="40"/>
      <c r="AB68" s="500" t="str">
        <f ca="1">+'Compativilidad de Pareja'!G3</f>
        <v>En el número energético, usted y su creatividad estimulan a su pareja, mientrás que su pareja, estabiliza a usted.</v>
      </c>
      <c r="AC68" s="501"/>
      <c r="AD68" s="501"/>
      <c r="AE68" s="501"/>
      <c r="AF68" s="501"/>
      <c r="AG68" s="501"/>
      <c r="AH68" s="501"/>
      <c r="AI68" s="501"/>
      <c r="AJ68" s="501"/>
      <c r="AK68" s="501"/>
      <c r="AL68" s="502"/>
      <c r="AM68" s="44"/>
    </row>
    <row r="69" spans="1:39" ht="13.5" thickBot="1">
      <c r="A69" s="41"/>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5"/>
    </row>
    <row r="70" spans="1:39" ht="18.75" customHeight="1" thickBot="1">
      <c r="A70" s="37"/>
      <c r="B70" s="506" t="str">
        <f>+'Signo Resultado'!B10</f>
        <v>Personajes Jabalí</v>
      </c>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8"/>
      <c r="AM70" s="43"/>
    </row>
    <row r="71" spans="1:39" ht="67.5" customHeight="1" thickBot="1">
      <c r="A71" s="39"/>
      <c r="B71" s="509" t="str">
        <f>+'Signo Resultado'!B11</f>
        <v>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v>
      </c>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1"/>
      <c r="AM71" s="44"/>
    </row>
    <row r="72" spans="1:39" ht="12.75" customHeight="1">
      <c r="A72" s="39"/>
      <c r="B72" s="331" t="s">
        <v>218</v>
      </c>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3"/>
      <c r="AM72" s="44"/>
    </row>
    <row r="73" spans="1:39" ht="12.75" customHeight="1" thickBot="1">
      <c r="A73" s="39"/>
      <c r="B73" s="334"/>
      <c r="C73" s="335"/>
      <c r="D73" s="335"/>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6"/>
      <c r="AM73" s="44"/>
    </row>
    <row r="74" spans="1:39" ht="13.5" thickBot="1">
      <c r="A74" s="39"/>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4"/>
    </row>
    <row r="75" spans="1:39" ht="13.5" thickBot="1">
      <c r="A75" s="39"/>
      <c r="B75" s="40"/>
      <c r="C75" s="40"/>
      <c r="D75" s="40"/>
      <c r="E75" s="47" t="s">
        <v>97</v>
      </c>
      <c r="F75" s="48" t="s">
        <v>98</v>
      </c>
      <c r="G75" s="317" t="s">
        <v>99</v>
      </c>
      <c r="H75" s="317"/>
      <c r="I75" s="48" t="s">
        <v>100</v>
      </c>
      <c r="J75" s="49" t="s">
        <v>101</v>
      </c>
      <c r="K75" s="40"/>
      <c r="L75" s="40"/>
      <c r="M75" s="40"/>
      <c r="N75" s="40"/>
      <c r="O75" s="40"/>
      <c r="P75" s="40"/>
      <c r="Q75" s="47" t="s">
        <v>97</v>
      </c>
      <c r="R75" s="48" t="s">
        <v>98</v>
      </c>
      <c r="S75" s="317" t="s">
        <v>99</v>
      </c>
      <c r="T75" s="317"/>
      <c r="U75" s="48" t="s">
        <v>100</v>
      </c>
      <c r="V75" s="49" t="s">
        <v>101</v>
      </c>
      <c r="W75" s="40"/>
      <c r="X75" s="40"/>
      <c r="Y75" s="40"/>
      <c r="Z75" s="40"/>
      <c r="AA75" s="40"/>
      <c r="AB75" s="40"/>
      <c r="AC75" s="47" t="s">
        <v>97</v>
      </c>
      <c r="AD75" s="48" t="s">
        <v>98</v>
      </c>
      <c r="AE75" s="317" t="s">
        <v>99</v>
      </c>
      <c r="AF75" s="317"/>
      <c r="AG75" s="48" t="s">
        <v>100</v>
      </c>
      <c r="AH75" s="49" t="s">
        <v>101</v>
      </c>
      <c r="AI75" s="40"/>
      <c r="AJ75" s="40"/>
      <c r="AK75" s="40"/>
      <c r="AL75" s="40"/>
      <c r="AM75" s="44"/>
    </row>
    <row r="76" spans="1:39">
      <c r="A76" s="39"/>
      <c r="B76" s="40"/>
      <c r="C76" s="40"/>
      <c r="D76" s="40"/>
      <c r="E76" s="50" t="s">
        <v>102</v>
      </c>
      <c r="F76" s="51">
        <f>IF(G77-1&lt;1,9,G77-1)</f>
        <v>7</v>
      </c>
      <c r="G76" s="326">
        <f>IF(G78-1&lt;1,9,G78-1)</f>
        <v>3</v>
      </c>
      <c r="H76" s="326"/>
      <c r="I76" s="53">
        <f>IF(F77-1&lt;1,9,F77-1)</f>
        <v>5</v>
      </c>
      <c r="J76" s="54" t="s">
        <v>103</v>
      </c>
      <c r="K76" s="40"/>
      <c r="L76" s="40"/>
      <c r="M76" s="40"/>
      <c r="N76" s="40"/>
      <c r="O76" s="40"/>
      <c r="P76" s="40"/>
      <c r="Q76" s="50" t="s">
        <v>102</v>
      </c>
      <c r="R76" s="51">
        <f ca="1">IF(S77-1&lt;1,9,S77-1)</f>
        <v>9</v>
      </c>
      <c r="S76" s="326">
        <f ca="1">IF(S78-1&lt;1,9,S78-1)</f>
        <v>5</v>
      </c>
      <c r="T76" s="326"/>
      <c r="U76" s="53">
        <f ca="1">IF(R77-1&lt;1,9,R77-1)</f>
        <v>7</v>
      </c>
      <c r="V76" s="54" t="s">
        <v>103</v>
      </c>
      <c r="W76" s="40"/>
      <c r="X76" s="40"/>
      <c r="Y76" s="40"/>
      <c r="Z76" s="40"/>
      <c r="AA76" s="40"/>
      <c r="AB76" s="40"/>
      <c r="AC76" s="50" t="s">
        <v>102</v>
      </c>
      <c r="AD76" s="51">
        <f ca="1">IF(AE77-1&lt;1,9,AE77-1)</f>
        <v>3</v>
      </c>
      <c r="AE76" s="326">
        <f ca="1">IF(AE78-1&lt;1,9,AE78-1)</f>
        <v>8</v>
      </c>
      <c r="AF76" s="326"/>
      <c r="AG76" s="53">
        <f ca="1">IF(AD77-1&lt;1,9,AD77-1)</f>
        <v>1</v>
      </c>
      <c r="AH76" s="54" t="s">
        <v>103</v>
      </c>
      <c r="AI76" s="40"/>
      <c r="AJ76" s="40"/>
      <c r="AK76" s="40"/>
      <c r="AL76" s="40"/>
      <c r="AM76" s="44"/>
    </row>
    <row r="77" spans="1:39">
      <c r="A77" s="39"/>
      <c r="B77" s="40"/>
      <c r="C77" s="40"/>
      <c r="D77" s="40"/>
      <c r="E77" s="55" t="s">
        <v>104</v>
      </c>
      <c r="F77" s="56">
        <f>IF(F76-1&lt;1,9,F76-1)</f>
        <v>6</v>
      </c>
      <c r="G77" s="346">
        <f>I19</f>
        <v>8</v>
      </c>
      <c r="H77" s="346"/>
      <c r="I77" s="57">
        <f>IF(F78-1&lt;1,9,F78-1)</f>
        <v>1</v>
      </c>
      <c r="J77" s="58" t="s">
        <v>105</v>
      </c>
      <c r="K77" s="40"/>
      <c r="L77" s="40"/>
      <c r="M77" s="40"/>
      <c r="N77" s="40"/>
      <c r="O77" s="40"/>
      <c r="P77" s="40"/>
      <c r="Q77" s="55" t="s">
        <v>104</v>
      </c>
      <c r="R77" s="56">
        <f ca="1">IF(R76-1&lt;1,9,R76-1)</f>
        <v>8</v>
      </c>
      <c r="S77" s="346">
        <f ca="1">+U19</f>
        <v>1</v>
      </c>
      <c r="T77" s="346"/>
      <c r="U77" s="57">
        <f ca="1">IF(R78-1&lt;1,9,R78-1)</f>
        <v>3</v>
      </c>
      <c r="V77" s="58" t="s">
        <v>105</v>
      </c>
      <c r="W77" s="40"/>
      <c r="X77" s="40"/>
      <c r="Y77" s="40"/>
      <c r="Z77" s="40"/>
      <c r="AA77" s="40"/>
      <c r="AB77" s="40"/>
      <c r="AC77" s="55" t="s">
        <v>104</v>
      </c>
      <c r="AD77" s="56">
        <f ca="1">IF(AD76-1&lt;1,9,AD76-1)</f>
        <v>2</v>
      </c>
      <c r="AE77" s="346">
        <f ca="1">+AG19</f>
        <v>4</v>
      </c>
      <c r="AF77" s="346"/>
      <c r="AG77" s="57">
        <f ca="1">IF(AD78-1&lt;1,9,AD78-1)</f>
        <v>6</v>
      </c>
      <c r="AH77" s="58" t="s">
        <v>105</v>
      </c>
      <c r="AI77" s="40"/>
      <c r="AJ77" s="40"/>
      <c r="AK77" s="40"/>
      <c r="AL77" s="40"/>
      <c r="AM77" s="44"/>
    </row>
    <row r="78" spans="1:39" ht="13.5" thickBot="1">
      <c r="A78" s="39"/>
      <c r="B78" s="40"/>
      <c r="C78" s="40"/>
      <c r="D78" s="40"/>
      <c r="E78" s="50" t="s">
        <v>106</v>
      </c>
      <c r="F78" s="59">
        <f>IF(G76-1&lt;1,9,G76-1)</f>
        <v>2</v>
      </c>
      <c r="G78" s="315">
        <f>IF(I76-1&lt;1,9,I76-1)</f>
        <v>4</v>
      </c>
      <c r="H78" s="315"/>
      <c r="I78" s="60">
        <f>IF(I77-1&lt;1,9,I77-1)</f>
        <v>9</v>
      </c>
      <c r="J78" s="54" t="s">
        <v>107</v>
      </c>
      <c r="K78" s="40"/>
      <c r="L78" s="40"/>
      <c r="M78" s="40"/>
      <c r="N78" s="40"/>
      <c r="O78" s="40"/>
      <c r="P78" s="40"/>
      <c r="Q78" s="50" t="s">
        <v>106</v>
      </c>
      <c r="R78" s="59">
        <f ca="1">IF(S76-1&lt;1,9,S76-1)</f>
        <v>4</v>
      </c>
      <c r="S78" s="315">
        <f ca="1">IF(U76-1&lt;1,9,U76-1)</f>
        <v>6</v>
      </c>
      <c r="T78" s="315"/>
      <c r="U78" s="60">
        <f ca="1">IF(U77-1&lt;1,9,U77-1)</f>
        <v>2</v>
      </c>
      <c r="V78" s="54" t="s">
        <v>107</v>
      </c>
      <c r="W78" s="40"/>
      <c r="X78" s="40"/>
      <c r="Y78" s="40"/>
      <c r="Z78" s="40"/>
      <c r="AA78" s="40"/>
      <c r="AB78" s="40"/>
      <c r="AC78" s="50" t="s">
        <v>106</v>
      </c>
      <c r="AD78" s="59">
        <f ca="1">IF(AE76-1&lt;1,9,AE76-1)</f>
        <v>7</v>
      </c>
      <c r="AE78" s="315">
        <f ca="1">IF(AG76-1&lt;1,9,AG76-1)</f>
        <v>9</v>
      </c>
      <c r="AF78" s="315"/>
      <c r="AG78" s="60">
        <f ca="1">IF(AG77-1&lt;1,9,AG77-1)</f>
        <v>5</v>
      </c>
      <c r="AH78" s="54" t="s">
        <v>107</v>
      </c>
      <c r="AI78" s="40"/>
      <c r="AJ78" s="40"/>
      <c r="AK78" s="40"/>
      <c r="AL78" s="40"/>
      <c r="AM78" s="44"/>
    </row>
    <row r="79" spans="1:39" ht="13.5" thickBot="1">
      <c r="A79" s="39"/>
      <c r="B79" s="40"/>
      <c r="C79" s="40"/>
      <c r="D79" s="40"/>
      <c r="E79" s="61" t="s">
        <v>108</v>
      </c>
      <c r="F79" s="62" t="s">
        <v>109</v>
      </c>
      <c r="G79" s="327" t="s">
        <v>110</v>
      </c>
      <c r="H79" s="327"/>
      <c r="I79" s="62" t="s">
        <v>111</v>
      </c>
      <c r="J79" s="63" t="s">
        <v>112</v>
      </c>
      <c r="K79" s="40"/>
      <c r="L79" s="40"/>
      <c r="M79" s="40"/>
      <c r="N79" s="40"/>
      <c r="O79" s="40"/>
      <c r="P79" s="40"/>
      <c r="Q79" s="61" t="s">
        <v>108</v>
      </c>
      <c r="R79" s="62" t="s">
        <v>109</v>
      </c>
      <c r="S79" s="327" t="s">
        <v>110</v>
      </c>
      <c r="T79" s="327"/>
      <c r="U79" s="62" t="s">
        <v>111</v>
      </c>
      <c r="V79" s="63" t="s">
        <v>112</v>
      </c>
      <c r="W79" s="40"/>
      <c r="X79" s="40"/>
      <c r="Y79" s="40"/>
      <c r="Z79" s="40"/>
      <c r="AA79" s="40"/>
      <c r="AB79" s="40"/>
      <c r="AC79" s="61" t="s">
        <v>108</v>
      </c>
      <c r="AD79" s="62" t="s">
        <v>109</v>
      </c>
      <c r="AE79" s="327" t="s">
        <v>110</v>
      </c>
      <c r="AF79" s="327"/>
      <c r="AG79" s="62" t="s">
        <v>111</v>
      </c>
      <c r="AH79" s="63" t="s">
        <v>112</v>
      </c>
      <c r="AI79" s="40"/>
      <c r="AJ79" s="40"/>
      <c r="AK79" s="40"/>
      <c r="AL79" s="40"/>
      <c r="AM79" s="44"/>
    </row>
    <row r="80" spans="1:39" ht="13.5" thickBot="1">
      <c r="A80" s="39"/>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4"/>
    </row>
    <row r="81" spans="1:39">
      <c r="A81" s="39"/>
      <c r="B81" s="40"/>
      <c r="C81" s="40"/>
      <c r="D81" s="7"/>
      <c r="E81" s="8"/>
      <c r="F81" s="8"/>
      <c r="G81" s="8"/>
      <c r="H81" s="8"/>
      <c r="I81" s="8"/>
      <c r="J81" s="8"/>
      <c r="K81" s="9"/>
      <c r="L81" s="40"/>
      <c r="M81" s="40"/>
      <c r="N81" s="40"/>
      <c r="O81" s="40"/>
      <c r="P81" s="7"/>
      <c r="Q81" s="8"/>
      <c r="R81" s="8"/>
      <c r="S81" s="8"/>
      <c r="T81" s="8"/>
      <c r="U81" s="8"/>
      <c r="V81" s="8"/>
      <c r="W81" s="9"/>
      <c r="X81" s="40"/>
      <c r="Y81" s="40"/>
      <c r="Z81" s="40"/>
      <c r="AA81" s="40"/>
      <c r="AB81" s="7"/>
      <c r="AC81" s="8"/>
      <c r="AD81" s="8"/>
      <c r="AE81" s="8"/>
      <c r="AF81" s="8"/>
      <c r="AG81" s="8"/>
      <c r="AH81" s="8"/>
      <c r="AI81" s="9"/>
      <c r="AJ81" s="40"/>
      <c r="AK81" s="40"/>
      <c r="AL81" s="40"/>
      <c r="AM81" s="44"/>
    </row>
    <row r="82" spans="1:39">
      <c r="A82" s="39"/>
      <c r="B82" s="40"/>
      <c r="C82" s="40"/>
      <c r="D82" s="10"/>
      <c r="E82" s="11"/>
      <c r="F82" s="11"/>
      <c r="G82" s="12"/>
      <c r="H82" s="12"/>
      <c r="I82" s="11"/>
      <c r="J82" s="11"/>
      <c r="K82" s="13"/>
      <c r="L82" s="40"/>
      <c r="M82" s="40"/>
      <c r="N82" s="40"/>
      <c r="O82" s="40"/>
      <c r="P82" s="10"/>
      <c r="Q82" s="11"/>
      <c r="R82" s="11"/>
      <c r="S82" s="12"/>
      <c r="T82" s="12"/>
      <c r="U82" s="11"/>
      <c r="V82" s="11"/>
      <c r="W82" s="13"/>
      <c r="X82" s="40"/>
      <c r="Y82" s="40"/>
      <c r="Z82" s="40"/>
      <c r="AA82" s="40"/>
      <c r="AB82" s="10"/>
      <c r="AC82" s="11"/>
      <c r="AD82" s="11"/>
      <c r="AE82" s="12"/>
      <c r="AF82" s="12"/>
      <c r="AG82" s="11"/>
      <c r="AH82" s="11"/>
      <c r="AI82" s="13"/>
      <c r="AJ82" s="40"/>
      <c r="AK82" s="40"/>
      <c r="AL82" s="40"/>
      <c r="AM82" s="44"/>
    </row>
    <row r="83" spans="1:39">
      <c r="A83" s="39"/>
      <c r="B83" s="40"/>
      <c r="C83" s="40"/>
      <c r="D83" s="10"/>
      <c r="E83" s="14"/>
      <c r="F83" s="14"/>
      <c r="G83" s="14"/>
      <c r="H83" s="14"/>
      <c r="I83" s="14"/>
      <c r="J83" s="14"/>
      <c r="K83" s="13"/>
      <c r="L83" s="40"/>
      <c r="M83" s="40"/>
      <c r="N83" s="40"/>
      <c r="O83" s="40"/>
      <c r="P83" s="10"/>
      <c r="Q83" s="14"/>
      <c r="R83" s="14"/>
      <c r="S83" s="14"/>
      <c r="T83" s="14"/>
      <c r="U83" s="14"/>
      <c r="V83" s="14"/>
      <c r="W83" s="13"/>
      <c r="X83" s="40"/>
      <c r="Y83" s="40"/>
      <c r="Z83" s="40"/>
      <c r="AA83" s="40"/>
      <c r="AB83" s="10"/>
      <c r="AC83" s="14"/>
      <c r="AD83" s="14"/>
      <c r="AE83" s="14"/>
      <c r="AF83" s="14"/>
      <c r="AG83" s="14"/>
      <c r="AH83" s="14"/>
      <c r="AI83" s="13"/>
      <c r="AJ83" s="40"/>
      <c r="AK83" s="40"/>
      <c r="AL83" s="40"/>
      <c r="AM83" s="44"/>
    </row>
    <row r="84" spans="1:39">
      <c r="A84" s="39"/>
      <c r="B84" s="40"/>
      <c r="C84" s="40"/>
      <c r="D84" s="10"/>
      <c r="E84" s="11"/>
      <c r="F84" s="11"/>
      <c r="G84" s="12"/>
      <c r="H84" s="12"/>
      <c r="I84" s="11"/>
      <c r="J84" s="11"/>
      <c r="K84" s="13"/>
      <c r="L84" s="40"/>
      <c r="M84" s="40"/>
      <c r="N84" s="40"/>
      <c r="O84" s="40"/>
      <c r="P84" s="10"/>
      <c r="Q84" s="11"/>
      <c r="R84" s="11"/>
      <c r="S84" s="12"/>
      <c r="T84" s="12"/>
      <c r="U84" s="11"/>
      <c r="V84" s="11"/>
      <c r="W84" s="13"/>
      <c r="X84" s="40"/>
      <c r="Y84" s="40"/>
      <c r="Z84" s="40"/>
      <c r="AA84" s="40"/>
      <c r="AB84" s="10"/>
      <c r="AC84" s="11"/>
      <c r="AD84" s="11"/>
      <c r="AE84" s="12"/>
      <c r="AF84" s="12"/>
      <c r="AG84" s="11"/>
      <c r="AH84" s="11"/>
      <c r="AI84" s="13"/>
      <c r="AJ84" s="40"/>
      <c r="AK84" s="40"/>
      <c r="AL84" s="40"/>
      <c r="AM84" s="44"/>
    </row>
    <row r="85" spans="1:39">
      <c r="A85" s="39"/>
      <c r="B85" s="40"/>
      <c r="C85" s="40"/>
      <c r="D85" s="10"/>
      <c r="E85" s="14"/>
      <c r="F85" s="14"/>
      <c r="G85" s="14"/>
      <c r="H85" s="14"/>
      <c r="I85" s="14"/>
      <c r="J85" s="14"/>
      <c r="K85" s="13"/>
      <c r="L85" s="40"/>
      <c r="M85" s="40"/>
      <c r="N85" s="40"/>
      <c r="O85" s="40"/>
      <c r="P85" s="10"/>
      <c r="Q85" s="14"/>
      <c r="R85" s="14"/>
      <c r="S85" s="14"/>
      <c r="T85" s="14"/>
      <c r="U85" s="14"/>
      <c r="V85" s="14"/>
      <c r="W85" s="13"/>
      <c r="X85" s="40"/>
      <c r="Y85" s="40"/>
      <c r="Z85" s="40"/>
      <c r="AA85" s="40"/>
      <c r="AB85" s="10"/>
      <c r="AC85" s="14"/>
      <c r="AD85" s="14"/>
      <c r="AE85" s="14"/>
      <c r="AF85" s="14"/>
      <c r="AG85" s="14"/>
      <c r="AH85" s="14"/>
      <c r="AI85" s="13"/>
      <c r="AJ85" s="40"/>
      <c r="AK85" s="40"/>
      <c r="AL85" s="40"/>
      <c r="AM85" s="44"/>
    </row>
    <row r="86" spans="1:39">
      <c r="A86" s="39"/>
      <c r="B86" s="40"/>
      <c r="C86" s="40"/>
      <c r="D86" s="10"/>
      <c r="E86" s="11"/>
      <c r="F86" s="11"/>
      <c r="G86" s="12"/>
      <c r="H86" s="12"/>
      <c r="I86" s="11"/>
      <c r="J86" s="11"/>
      <c r="K86" s="13"/>
      <c r="L86" s="40"/>
      <c r="M86" s="40"/>
      <c r="N86" s="40"/>
      <c r="O86" s="40"/>
      <c r="P86" s="10"/>
      <c r="Q86" s="11"/>
      <c r="R86" s="11"/>
      <c r="S86" s="12"/>
      <c r="T86" s="12"/>
      <c r="U86" s="11"/>
      <c r="V86" s="11"/>
      <c r="W86" s="13"/>
      <c r="X86" s="40"/>
      <c r="Y86" s="40"/>
      <c r="Z86" s="40"/>
      <c r="AA86" s="40"/>
      <c r="AB86" s="10"/>
      <c r="AC86" s="11"/>
      <c r="AD86" s="11"/>
      <c r="AE86" s="12"/>
      <c r="AF86" s="12"/>
      <c r="AG86" s="11"/>
      <c r="AH86" s="11"/>
      <c r="AI86" s="13"/>
      <c r="AJ86" s="40"/>
      <c r="AK86" s="40"/>
      <c r="AL86" s="40"/>
      <c r="AM86" s="44"/>
    </row>
    <row r="87" spans="1:39" ht="13.5" thickBot="1">
      <c r="A87" s="39"/>
      <c r="B87" s="40"/>
      <c r="C87" s="40"/>
      <c r="D87" s="15"/>
      <c r="E87" s="16"/>
      <c r="F87" s="16"/>
      <c r="G87" s="16"/>
      <c r="H87" s="16"/>
      <c r="I87" s="16"/>
      <c r="J87" s="16"/>
      <c r="K87" s="17"/>
      <c r="L87" s="40"/>
      <c r="M87" s="40"/>
      <c r="N87" s="40"/>
      <c r="O87" s="40"/>
      <c r="P87" s="15"/>
      <c r="Q87" s="16"/>
      <c r="R87" s="16"/>
      <c r="S87" s="16"/>
      <c r="T87" s="16"/>
      <c r="U87" s="16"/>
      <c r="V87" s="16"/>
      <c r="W87" s="17"/>
      <c r="X87" s="40"/>
      <c r="Y87" s="40"/>
      <c r="Z87" s="40"/>
      <c r="AA87" s="40"/>
      <c r="AB87" s="15"/>
      <c r="AC87" s="16"/>
      <c r="AD87" s="16"/>
      <c r="AE87" s="16"/>
      <c r="AF87" s="16"/>
      <c r="AG87" s="16"/>
      <c r="AH87" s="16"/>
      <c r="AI87" s="17"/>
      <c r="AJ87" s="40"/>
      <c r="AK87" s="40"/>
      <c r="AL87" s="40"/>
      <c r="AM87" s="44"/>
    </row>
    <row r="88" spans="1:39" ht="13.5" thickBot="1">
      <c r="A88" s="39"/>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4"/>
    </row>
    <row r="89" spans="1:39">
      <c r="A89" s="39"/>
      <c r="B89" s="40"/>
      <c r="C89" s="40"/>
      <c r="D89" s="347" t="s">
        <v>123</v>
      </c>
      <c r="E89" s="348"/>
      <c r="F89" s="348"/>
      <c r="G89" s="348"/>
      <c r="H89" s="348"/>
      <c r="I89" s="348"/>
      <c r="J89" s="348"/>
      <c r="K89" s="349"/>
      <c r="L89" s="40"/>
      <c r="M89" s="40"/>
      <c r="N89" s="40"/>
      <c r="O89" s="40"/>
      <c r="P89" s="347" t="s">
        <v>124</v>
      </c>
      <c r="Q89" s="348"/>
      <c r="R89" s="348"/>
      <c r="S89" s="348"/>
      <c r="T89" s="348"/>
      <c r="U89" s="348"/>
      <c r="V89" s="348"/>
      <c r="W89" s="349"/>
      <c r="X89" s="40"/>
      <c r="Y89" s="40"/>
      <c r="Z89" s="40"/>
      <c r="AA89" s="40"/>
      <c r="AB89" s="347" t="s">
        <v>125</v>
      </c>
      <c r="AC89" s="348"/>
      <c r="AD89" s="348"/>
      <c r="AE89" s="348"/>
      <c r="AF89" s="348"/>
      <c r="AG89" s="348"/>
      <c r="AH89" s="348"/>
      <c r="AI89" s="349"/>
      <c r="AJ89" s="40"/>
      <c r="AK89" s="40"/>
      <c r="AL89" s="40"/>
      <c r="AM89" s="44"/>
    </row>
    <row r="90" spans="1:39">
      <c r="A90" s="39"/>
      <c r="B90" s="40"/>
      <c r="C90" s="40"/>
      <c r="D90" s="350"/>
      <c r="E90" s="351"/>
      <c r="F90" s="351"/>
      <c r="G90" s="351"/>
      <c r="H90" s="351"/>
      <c r="I90" s="351"/>
      <c r="J90" s="351"/>
      <c r="K90" s="352"/>
      <c r="L90" s="40"/>
      <c r="M90" s="40"/>
      <c r="N90" s="40"/>
      <c r="O90" s="40"/>
      <c r="P90" s="350"/>
      <c r="Q90" s="351"/>
      <c r="R90" s="351"/>
      <c r="S90" s="351"/>
      <c r="T90" s="351"/>
      <c r="U90" s="351"/>
      <c r="V90" s="351"/>
      <c r="W90" s="352"/>
      <c r="X90" s="40"/>
      <c r="Y90" s="40"/>
      <c r="Z90" s="40"/>
      <c r="AA90" s="40"/>
      <c r="AB90" s="350"/>
      <c r="AC90" s="351"/>
      <c r="AD90" s="351"/>
      <c r="AE90" s="351"/>
      <c r="AF90" s="351"/>
      <c r="AG90" s="351"/>
      <c r="AH90" s="351"/>
      <c r="AI90" s="352"/>
      <c r="AJ90" s="40"/>
      <c r="AK90" s="40"/>
      <c r="AL90" s="40"/>
      <c r="AM90" s="44"/>
    </row>
    <row r="91" spans="1:39">
      <c r="A91" s="39"/>
      <c r="B91" s="40"/>
      <c r="C91" s="40"/>
      <c r="D91" s="350"/>
      <c r="E91" s="351"/>
      <c r="F91" s="351"/>
      <c r="G91" s="351"/>
      <c r="H91" s="351"/>
      <c r="I91" s="351"/>
      <c r="J91" s="351"/>
      <c r="K91" s="352"/>
      <c r="L91" s="40"/>
      <c r="M91" s="40"/>
      <c r="N91" s="40"/>
      <c r="O91" s="40"/>
      <c r="P91" s="350"/>
      <c r="Q91" s="351"/>
      <c r="R91" s="351"/>
      <c r="S91" s="351"/>
      <c r="T91" s="351"/>
      <c r="U91" s="351"/>
      <c r="V91" s="351"/>
      <c r="W91" s="352"/>
      <c r="X91" s="40"/>
      <c r="Y91" s="40"/>
      <c r="Z91" s="40"/>
      <c r="AA91" s="40"/>
      <c r="AB91" s="350"/>
      <c r="AC91" s="351"/>
      <c r="AD91" s="351"/>
      <c r="AE91" s="351"/>
      <c r="AF91" s="351"/>
      <c r="AG91" s="351"/>
      <c r="AH91" s="351"/>
      <c r="AI91" s="352"/>
      <c r="AJ91" s="40"/>
      <c r="AK91" s="40"/>
      <c r="AL91" s="40"/>
      <c r="AM91" s="44"/>
    </row>
    <row r="92" spans="1:39">
      <c r="A92" s="39"/>
      <c r="B92" s="40"/>
      <c r="C92" s="40"/>
      <c r="D92" s="350"/>
      <c r="E92" s="351"/>
      <c r="F92" s="351"/>
      <c r="G92" s="351"/>
      <c r="H92" s="351"/>
      <c r="I92" s="351"/>
      <c r="J92" s="351"/>
      <c r="K92" s="352"/>
      <c r="L92" s="40"/>
      <c r="M92" s="40"/>
      <c r="N92" s="40"/>
      <c r="O92" s="40"/>
      <c r="P92" s="350"/>
      <c r="Q92" s="351"/>
      <c r="R92" s="351"/>
      <c r="S92" s="351"/>
      <c r="T92" s="351"/>
      <c r="U92" s="351"/>
      <c r="V92" s="351"/>
      <c r="W92" s="352"/>
      <c r="X92" s="40"/>
      <c r="Y92" s="40"/>
      <c r="Z92" s="40"/>
      <c r="AA92" s="40"/>
      <c r="AB92" s="350"/>
      <c r="AC92" s="351"/>
      <c r="AD92" s="351"/>
      <c r="AE92" s="351"/>
      <c r="AF92" s="351"/>
      <c r="AG92" s="351"/>
      <c r="AH92" s="351"/>
      <c r="AI92" s="352"/>
      <c r="AJ92" s="40"/>
      <c r="AK92" s="40"/>
      <c r="AL92" s="40"/>
      <c r="AM92" s="44"/>
    </row>
    <row r="93" spans="1:39">
      <c r="A93" s="39"/>
      <c r="B93" s="40"/>
      <c r="C93" s="40"/>
      <c r="D93" s="350"/>
      <c r="E93" s="351"/>
      <c r="F93" s="351"/>
      <c r="G93" s="351"/>
      <c r="H93" s="351"/>
      <c r="I93" s="351"/>
      <c r="J93" s="351"/>
      <c r="K93" s="352"/>
      <c r="L93" s="40"/>
      <c r="M93" s="40"/>
      <c r="N93" s="40"/>
      <c r="O93" s="40"/>
      <c r="P93" s="350"/>
      <c r="Q93" s="351"/>
      <c r="R93" s="351"/>
      <c r="S93" s="351"/>
      <c r="T93" s="351"/>
      <c r="U93" s="351"/>
      <c r="V93" s="351"/>
      <c r="W93" s="352"/>
      <c r="X93" s="40"/>
      <c r="Y93" s="40"/>
      <c r="Z93" s="40"/>
      <c r="AA93" s="40"/>
      <c r="AB93" s="350"/>
      <c r="AC93" s="351"/>
      <c r="AD93" s="351"/>
      <c r="AE93" s="351"/>
      <c r="AF93" s="351"/>
      <c r="AG93" s="351"/>
      <c r="AH93" s="351"/>
      <c r="AI93" s="352"/>
      <c r="AJ93" s="40"/>
      <c r="AK93" s="40"/>
      <c r="AL93" s="40"/>
      <c r="AM93" s="44"/>
    </row>
    <row r="94" spans="1:39" ht="13.5" thickBot="1">
      <c r="A94" s="39"/>
      <c r="B94" s="40"/>
      <c r="C94" s="40"/>
      <c r="D94" s="353"/>
      <c r="E94" s="354"/>
      <c r="F94" s="354"/>
      <c r="G94" s="354"/>
      <c r="H94" s="354"/>
      <c r="I94" s="354"/>
      <c r="J94" s="354"/>
      <c r="K94" s="355"/>
      <c r="L94" s="40"/>
      <c r="M94" s="40"/>
      <c r="N94" s="40"/>
      <c r="O94" s="40"/>
      <c r="P94" s="353"/>
      <c r="Q94" s="354"/>
      <c r="R94" s="354"/>
      <c r="S94" s="354"/>
      <c r="T94" s="354"/>
      <c r="U94" s="354"/>
      <c r="V94" s="354"/>
      <c r="W94" s="355"/>
      <c r="X94" s="40"/>
      <c r="Y94" s="40"/>
      <c r="Z94" s="40"/>
      <c r="AA94" s="40"/>
      <c r="AB94" s="353"/>
      <c r="AC94" s="354"/>
      <c r="AD94" s="354"/>
      <c r="AE94" s="354"/>
      <c r="AF94" s="354"/>
      <c r="AG94" s="354"/>
      <c r="AH94" s="354"/>
      <c r="AI94" s="355"/>
      <c r="AJ94" s="40"/>
      <c r="AK94" s="40"/>
      <c r="AL94" s="40"/>
      <c r="AM94" s="44"/>
    </row>
    <row r="95" spans="1:39" ht="13.5" thickBot="1">
      <c r="A95" s="39"/>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4"/>
    </row>
    <row r="96" spans="1:39" s="70" customFormat="1" ht="18.75" thickBot="1">
      <c r="A96" s="39"/>
      <c r="B96" s="40"/>
      <c r="C96" s="40"/>
      <c r="D96" s="40"/>
      <c r="E96" s="343" t="str">
        <f>IF(G77=1,'1a estrella'!A1,IF(G77=2,'1a estrella'!G1,IF(G77=3,'1a estrella'!M1,IF(G77=4,'1a estrella'!S1,IF(G77=5,'1a estrella'!Y1,IF(G77=6,'1a estrella'!AE1,IF(G77=7,'1a estrella'!AK1,IF(G77=8,'1a estrella'!AQ1,'1a estrella'!AW1))))))))</f>
        <v>8Montaña</v>
      </c>
      <c r="F96" s="344"/>
      <c r="G96" s="344"/>
      <c r="H96" s="344"/>
      <c r="I96" s="344"/>
      <c r="J96" s="345"/>
      <c r="K96" s="40"/>
      <c r="L96" s="40"/>
      <c r="M96" s="40"/>
      <c r="N96" s="40"/>
      <c r="O96" s="40"/>
      <c r="P96" s="40"/>
      <c r="Q96" s="343">
        <f ca="1">IF(S77=1,'2a Estrella '!A1,IF(S77=2,'2a Estrella '!G1,IF(S77=3,'2a Estrella '!M1,IF(S77=4,'2a Estrella '!S1,IF(S77=5,'2a Estrella '!Y1,IF(S77=6,'2a Estrella '!AE1,IF(S77=7,'2a Estrella '!AK1,IF(S77=8,'2a Estrella '!AQ1,'2a Estrella '!AW1))))))))</f>
        <v>1</v>
      </c>
      <c r="R96" s="344"/>
      <c r="S96" s="344"/>
      <c r="T96" s="344"/>
      <c r="U96" s="344"/>
      <c r="V96" s="345"/>
      <c r="W96" s="40"/>
      <c r="X96" s="40"/>
      <c r="Y96" s="40"/>
      <c r="Z96" s="40"/>
      <c r="AA96" s="40"/>
      <c r="AB96" s="40"/>
      <c r="AC96" s="343" t="str">
        <f ca="1">IF(AE77=1,'3a Estrella'!A1,IF(AE77=2,'3a Estrella'!G1,IF(AE77=3,'3a Estrella'!M1,IF(AE77=4,'3a Estrella'!S1,IF(AE77=5,'3a Estrella'!Y1,IF(AE77=6,'3a Estrella'!AE1,IF(AE77=7,'3a Estrella'!AK1,IF(AE77=8,'3a Estrella'!AQ1,'3a Estrella'!AW1))))))))</f>
        <v>4Madera</v>
      </c>
      <c r="AD96" s="344"/>
      <c r="AE96" s="344"/>
      <c r="AF96" s="344"/>
      <c r="AG96" s="344"/>
      <c r="AH96" s="345"/>
      <c r="AI96" s="40"/>
      <c r="AJ96" s="40"/>
      <c r="AK96" s="40"/>
      <c r="AL96" s="40"/>
      <c r="AM96" s="44"/>
    </row>
    <row r="97" spans="1:39" ht="13.5" thickBot="1">
      <c r="A97" s="39"/>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4"/>
    </row>
    <row r="98" spans="1:39" ht="16.5" thickBot="1">
      <c r="A98" s="39"/>
      <c r="B98" s="340" t="s">
        <v>205</v>
      </c>
      <c r="C98" s="341"/>
      <c r="D98" s="341"/>
      <c r="E98" s="341"/>
      <c r="F98" s="341"/>
      <c r="G98" s="341"/>
      <c r="H98" s="341"/>
      <c r="I98" s="341"/>
      <c r="J98" s="341"/>
      <c r="K98" s="341"/>
      <c r="L98" s="341"/>
      <c r="M98" s="341"/>
      <c r="N98" s="341"/>
      <c r="O98" s="341"/>
      <c r="P98" s="341"/>
      <c r="Q98" s="341"/>
      <c r="R98" s="341"/>
      <c r="S98" s="342"/>
      <c r="T98" s="495" t="str">
        <f>UPPER(VLOOKUP(I19,'Compativilidad de Pareja'!C54:E62,2))</f>
        <v>NORESTE</v>
      </c>
      <c r="U98" s="496"/>
      <c r="V98" s="496"/>
      <c r="W98" s="496"/>
      <c r="X98" s="496"/>
      <c r="Y98" s="496"/>
      <c r="Z98" s="496"/>
      <c r="AA98" s="496"/>
      <c r="AB98" s="496"/>
      <c r="AC98" s="496"/>
      <c r="AD98" s="496"/>
      <c r="AE98" s="496"/>
      <c r="AF98" s="496"/>
      <c r="AG98" s="496"/>
      <c r="AH98" s="496"/>
      <c r="AI98" s="496"/>
      <c r="AJ98" s="496"/>
      <c r="AK98" s="496"/>
      <c r="AL98" s="497"/>
      <c r="AM98" s="44"/>
    </row>
    <row r="99" spans="1:39" ht="46.5" customHeight="1" thickBot="1">
      <c r="A99" s="39"/>
      <c r="B99" s="337" t="str">
        <f>VLOOKUP(I19,'Compativilidad de Pareja'!C54:E62,3)</f>
        <v>Es una dirección de motivación, estructuración consolidación planeación, aclarar ideas. Sirve para dar giros y cambios a nuestra vida, ideal para los romances pasajeros.</v>
      </c>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9"/>
      <c r="AM99" s="44"/>
    </row>
    <row r="100" spans="1:39" ht="13.5" thickBot="1">
      <c r="A100" s="41"/>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5"/>
    </row>
    <row r="101" spans="1:39">
      <c r="A101" s="37"/>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43"/>
    </row>
    <row r="102" spans="1:39" ht="13.5" thickBot="1">
      <c r="A102" s="39"/>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4"/>
    </row>
    <row r="103" spans="1:39" ht="15" customHeight="1" thickBot="1">
      <c r="A103" s="328" t="str">
        <f ca="1">CONCATENATE("PREDICCIONES DEL HORÓSCOPO CHINO PARA EL AÑO ",UPPER(LOOKUP(L8,Horóscopo!K4:L123,Horóscopo!A4:A123)))</f>
        <v>PREDICCIONES DEL HORÓSCOPO CHINO PARA EL AÑO JABALÍ</v>
      </c>
      <c r="B103" s="307">
        <f ca="1">YEAR(TODAY())</f>
        <v>2022</v>
      </c>
      <c r="C103" s="308"/>
      <c r="D103" s="40"/>
      <c r="E103" s="47" t="s">
        <v>97</v>
      </c>
      <c r="F103" s="48" t="s">
        <v>98</v>
      </c>
      <c r="G103" s="317" t="s">
        <v>99</v>
      </c>
      <c r="H103" s="317"/>
      <c r="I103" s="48" t="s">
        <v>100</v>
      </c>
      <c r="J103" s="49" t="s">
        <v>101</v>
      </c>
      <c r="K103" s="40"/>
      <c r="L103" s="40"/>
      <c r="M103" s="191"/>
      <c r="N103" s="40"/>
      <c r="O103" s="40"/>
      <c r="P103" s="320" t="s">
        <v>273</v>
      </c>
      <c r="Q103" s="516" t="str">
        <f ca="1">VLOOKUP(O106,'Predicción x Casa'!$A$1:$C$9,3)</f>
        <v>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v>
      </c>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8"/>
      <c r="AM103" s="44"/>
    </row>
    <row r="104" spans="1:39" ht="15" customHeight="1" thickBot="1">
      <c r="A104" s="329"/>
      <c r="B104" s="309"/>
      <c r="C104" s="310"/>
      <c r="D104" s="40"/>
      <c r="E104" s="50" t="s">
        <v>102</v>
      </c>
      <c r="F104" s="51">
        <f ca="1">IF(G105-1&lt;1,9,G105-1)</f>
        <v>8</v>
      </c>
      <c r="G104" s="326">
        <f ca="1">IF(G106-1&lt;1,9,G106-1)</f>
        <v>4</v>
      </c>
      <c r="H104" s="326"/>
      <c r="I104" s="53">
        <f ca="1">IF(F105-1&lt;1,9,F105-1)</f>
        <v>6</v>
      </c>
      <c r="J104" s="54" t="s">
        <v>103</v>
      </c>
      <c r="K104" s="193" t="s">
        <v>286</v>
      </c>
      <c r="L104" s="40"/>
      <c r="M104" s="40"/>
      <c r="N104" s="40"/>
      <c r="O104" s="40"/>
      <c r="P104" s="321"/>
      <c r="Q104" s="519"/>
      <c r="R104" s="520"/>
      <c r="S104" s="520"/>
      <c r="T104" s="520"/>
      <c r="U104" s="520"/>
      <c r="V104" s="520"/>
      <c r="W104" s="520"/>
      <c r="X104" s="520"/>
      <c r="Y104" s="520"/>
      <c r="Z104" s="520"/>
      <c r="AA104" s="520"/>
      <c r="AB104" s="520"/>
      <c r="AC104" s="520"/>
      <c r="AD104" s="520"/>
      <c r="AE104" s="520"/>
      <c r="AF104" s="520"/>
      <c r="AG104" s="520"/>
      <c r="AH104" s="520"/>
      <c r="AI104" s="520"/>
      <c r="AJ104" s="520"/>
      <c r="AK104" s="520"/>
      <c r="AL104" s="521"/>
      <c r="AM104" s="44"/>
    </row>
    <row r="105" spans="1:39" ht="15" customHeight="1">
      <c r="A105" s="329"/>
      <c r="B105" s="309"/>
      <c r="C105" s="310"/>
      <c r="D105" s="40"/>
      <c r="E105" s="55" t="s">
        <v>104</v>
      </c>
      <c r="F105" s="56">
        <f ca="1">IF(F104-1&lt;1,9,F104-1)</f>
        <v>7</v>
      </c>
      <c r="G105" s="313">
        <f ca="1">+O105</f>
        <v>9</v>
      </c>
      <c r="H105" s="314"/>
      <c r="I105" s="57">
        <f ca="1">IF(F106-1&lt;1,9,F106-1)</f>
        <v>2</v>
      </c>
      <c r="J105" s="58" t="s">
        <v>105</v>
      </c>
      <c r="K105"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05" s="318" t="s">
        <v>285</v>
      </c>
      <c r="M105" s="319"/>
      <c r="N105" s="319"/>
      <c r="O105" s="195">
        <f ca="1">HLOOKUP(K105,'Cálculo de 2a. Estrella'!$Q$3:$Z$15,3)</f>
        <v>9</v>
      </c>
      <c r="P105" s="525"/>
      <c r="Q105" s="519"/>
      <c r="R105" s="520"/>
      <c r="S105" s="520"/>
      <c r="T105" s="520"/>
      <c r="U105" s="520"/>
      <c r="V105" s="520"/>
      <c r="W105" s="520"/>
      <c r="X105" s="520"/>
      <c r="Y105" s="520"/>
      <c r="Z105" s="520"/>
      <c r="AA105" s="520"/>
      <c r="AB105" s="520"/>
      <c r="AC105" s="520"/>
      <c r="AD105" s="520"/>
      <c r="AE105" s="520"/>
      <c r="AF105" s="520"/>
      <c r="AG105" s="520"/>
      <c r="AH105" s="520"/>
      <c r="AI105" s="520"/>
      <c r="AJ105" s="520"/>
      <c r="AK105" s="520"/>
      <c r="AL105" s="521"/>
      <c r="AM105" s="44"/>
    </row>
    <row r="106" spans="1:39" ht="15" customHeight="1" thickBot="1">
      <c r="A106" s="329"/>
      <c r="B106" s="309"/>
      <c r="C106" s="310"/>
      <c r="D106" s="40"/>
      <c r="E106" s="50" t="s">
        <v>106</v>
      </c>
      <c r="F106" s="59">
        <f ca="1">IF(G104-1&lt;1,9,G104-1)</f>
        <v>3</v>
      </c>
      <c r="G106" s="315">
        <f ca="1">IF(I104-1&lt;1,9,I104-1)</f>
        <v>5</v>
      </c>
      <c r="H106" s="315"/>
      <c r="I106" s="60">
        <f ca="1">IF(I105-1&lt;1,9,I105-1)</f>
        <v>1</v>
      </c>
      <c r="J106" s="54" t="s">
        <v>107</v>
      </c>
      <c r="K106" s="323" t="str">
        <f>CONCATENATE(TEXT($I$19,"##0")," Visita la casa ")</f>
        <v xml:space="preserve">8 Visita la casa </v>
      </c>
      <c r="L106" s="324"/>
      <c r="M106" s="324"/>
      <c r="N106" s="325"/>
      <c r="O106" s="196">
        <f ca="1">IF(F104-$I$19=0,4,IF(G104-$I$19=0,9,IF(I104-$I$19=0,2,IF(F105-$I$19=0,3,IF(G105-$I$19=0,5,IF(I105-$I$19=0,7,IF(F106-$I$19=0,8,IF(G106-$I$19=0,1,6))))))))</f>
        <v>4</v>
      </c>
      <c r="P106" s="525"/>
      <c r="Q106" s="519"/>
      <c r="R106" s="520"/>
      <c r="S106" s="520"/>
      <c r="T106" s="520"/>
      <c r="U106" s="520"/>
      <c r="V106" s="520"/>
      <c r="W106" s="520"/>
      <c r="X106" s="520"/>
      <c r="Y106" s="520"/>
      <c r="Z106" s="520"/>
      <c r="AA106" s="520"/>
      <c r="AB106" s="520"/>
      <c r="AC106" s="520"/>
      <c r="AD106" s="520"/>
      <c r="AE106" s="520"/>
      <c r="AF106" s="520"/>
      <c r="AG106" s="520"/>
      <c r="AH106" s="520"/>
      <c r="AI106" s="520"/>
      <c r="AJ106" s="520"/>
      <c r="AK106" s="520"/>
      <c r="AL106" s="521"/>
      <c r="AM106" s="44"/>
    </row>
    <row r="107" spans="1:39" ht="15" customHeight="1" thickBot="1">
      <c r="A107" s="329"/>
      <c r="B107" s="309"/>
      <c r="C107" s="310"/>
      <c r="D107" s="40"/>
      <c r="E107" s="61" t="s">
        <v>108</v>
      </c>
      <c r="F107" s="62" t="s">
        <v>109</v>
      </c>
      <c r="G107" s="327" t="s">
        <v>110</v>
      </c>
      <c r="H107" s="327"/>
      <c r="I107" s="62" t="s">
        <v>111</v>
      </c>
      <c r="J107" s="63" t="s">
        <v>112</v>
      </c>
      <c r="K107" s="40"/>
      <c r="L107" s="316"/>
      <c r="M107" s="316"/>
      <c r="N107" s="316"/>
      <c r="O107" s="40"/>
      <c r="P107" s="322"/>
      <c r="Q107" s="522"/>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4"/>
      <c r="AM107" s="44"/>
    </row>
    <row r="108" spans="1:39" ht="13.5" thickBot="1">
      <c r="A108" s="329"/>
      <c r="B108" s="309"/>
      <c r="C108" s="310"/>
      <c r="D108" s="40"/>
      <c r="E108" s="40"/>
      <c r="F108" s="40"/>
      <c r="G108" s="40"/>
      <c r="H108" s="40"/>
      <c r="I108" s="40"/>
      <c r="J108" s="40"/>
      <c r="K108" s="40"/>
      <c r="L108" s="316"/>
      <c r="M108" s="316"/>
      <c r="N108" s="316"/>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4"/>
    </row>
    <row r="109" spans="1:39" ht="15" customHeight="1" thickBot="1">
      <c r="A109" s="329"/>
      <c r="B109" s="309"/>
      <c r="C109" s="310"/>
      <c r="D109" s="40"/>
      <c r="E109" s="47" t="s">
        <v>97</v>
      </c>
      <c r="F109" s="48" t="s">
        <v>98</v>
      </c>
      <c r="G109" s="317" t="s">
        <v>99</v>
      </c>
      <c r="H109" s="317"/>
      <c r="I109" s="48" t="s">
        <v>100</v>
      </c>
      <c r="J109" s="49" t="s">
        <v>101</v>
      </c>
      <c r="K109" s="40"/>
      <c r="L109" s="40"/>
      <c r="M109" s="191"/>
      <c r="N109" s="40"/>
      <c r="O109" s="40"/>
      <c r="P109" s="320" t="s">
        <v>274</v>
      </c>
      <c r="Q109" s="516" t="str">
        <f ca="1">VLOOKUP(O112,'Predicción x Casa'!$A$1:$C$9,3)</f>
        <v>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v>
      </c>
      <c r="R109" s="517"/>
      <c r="S109" s="517"/>
      <c r="T109" s="517"/>
      <c r="U109" s="517"/>
      <c r="V109" s="517"/>
      <c r="W109" s="517"/>
      <c r="X109" s="517"/>
      <c r="Y109" s="517"/>
      <c r="Z109" s="517"/>
      <c r="AA109" s="517"/>
      <c r="AB109" s="517"/>
      <c r="AC109" s="517"/>
      <c r="AD109" s="517"/>
      <c r="AE109" s="517"/>
      <c r="AF109" s="517"/>
      <c r="AG109" s="517"/>
      <c r="AH109" s="517"/>
      <c r="AI109" s="517"/>
      <c r="AJ109" s="517"/>
      <c r="AK109" s="517"/>
      <c r="AL109" s="518"/>
      <c r="AM109" s="44"/>
    </row>
    <row r="110" spans="1:39" ht="15" customHeight="1" thickBot="1">
      <c r="A110" s="329"/>
      <c r="B110" s="309"/>
      <c r="C110" s="310"/>
      <c r="D110" s="40"/>
      <c r="E110" s="50" t="s">
        <v>102</v>
      </c>
      <c r="F110" s="51">
        <f ca="1">IF(G111-1&lt;1,9,G111-1)</f>
        <v>1</v>
      </c>
      <c r="G110" s="326">
        <f ca="1">IF(G112-1&lt;1,9,G112-1)</f>
        <v>6</v>
      </c>
      <c r="H110" s="326"/>
      <c r="I110" s="53">
        <f ca="1">IF(F111-1&lt;1,9,F111-1)</f>
        <v>8</v>
      </c>
      <c r="J110" s="54" t="s">
        <v>103</v>
      </c>
      <c r="K110" s="193" t="s">
        <v>286</v>
      </c>
      <c r="L110" s="40"/>
      <c r="M110" s="40"/>
      <c r="N110" s="40"/>
      <c r="O110" s="40"/>
      <c r="P110" s="321"/>
      <c r="Q110" s="519"/>
      <c r="R110" s="520"/>
      <c r="S110" s="520"/>
      <c r="T110" s="520"/>
      <c r="U110" s="520"/>
      <c r="V110" s="520"/>
      <c r="W110" s="520"/>
      <c r="X110" s="520"/>
      <c r="Y110" s="520"/>
      <c r="Z110" s="520"/>
      <c r="AA110" s="520"/>
      <c r="AB110" s="520"/>
      <c r="AC110" s="520"/>
      <c r="AD110" s="520"/>
      <c r="AE110" s="520"/>
      <c r="AF110" s="520"/>
      <c r="AG110" s="520"/>
      <c r="AH110" s="520"/>
      <c r="AI110" s="520"/>
      <c r="AJ110" s="520"/>
      <c r="AK110" s="520"/>
      <c r="AL110" s="521"/>
      <c r="AM110" s="44"/>
    </row>
    <row r="111" spans="1:39" ht="15" customHeight="1">
      <c r="A111" s="329"/>
      <c r="B111" s="309"/>
      <c r="C111" s="310"/>
      <c r="D111" s="40"/>
      <c r="E111" s="55" t="s">
        <v>104</v>
      </c>
      <c r="F111" s="56">
        <f ca="1">IF(F110-1&lt;1,9,F110-1)</f>
        <v>9</v>
      </c>
      <c r="G111" s="313">
        <f ca="1">+O111</f>
        <v>2</v>
      </c>
      <c r="H111" s="314"/>
      <c r="I111" s="57">
        <f ca="1">IF(F112-1&lt;1,9,F112-1)</f>
        <v>4</v>
      </c>
      <c r="J111" s="58" t="s">
        <v>105</v>
      </c>
      <c r="K111"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11" s="318" t="s">
        <v>285</v>
      </c>
      <c r="M111" s="319"/>
      <c r="N111" s="319"/>
      <c r="O111" s="195">
        <f ca="1">HLOOKUP(K111,'Cálculo de 2a. Estrella'!$Q$3:$Z$15,4)</f>
        <v>2</v>
      </c>
      <c r="P111" s="321"/>
      <c r="Q111" s="519"/>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1"/>
      <c r="AM111" s="44"/>
    </row>
    <row r="112" spans="1:39" ht="15" customHeight="1" thickBot="1">
      <c r="A112" s="329"/>
      <c r="B112" s="309"/>
      <c r="C112" s="310"/>
      <c r="D112" s="40"/>
      <c r="E112" s="50" t="s">
        <v>106</v>
      </c>
      <c r="F112" s="59">
        <f ca="1">IF(G110-1&lt;1,9,G110-1)</f>
        <v>5</v>
      </c>
      <c r="G112" s="315">
        <f ca="1">IF(I110-1&lt;1,9,I110-1)</f>
        <v>7</v>
      </c>
      <c r="H112" s="315"/>
      <c r="I112" s="60">
        <f ca="1">IF(I111-1&lt;1,9,I111-1)</f>
        <v>3</v>
      </c>
      <c r="J112" s="54" t="s">
        <v>107</v>
      </c>
      <c r="K112" s="323" t="str">
        <f>CONCATENATE(TEXT($I$19,"##0")," Visita la casa ")</f>
        <v xml:space="preserve">8 Visita la casa </v>
      </c>
      <c r="L112" s="324"/>
      <c r="M112" s="324"/>
      <c r="N112" s="325"/>
      <c r="O112" s="196">
        <f ca="1">IF(F110-$I$19=0,4,IF(G110-$I$19=0,9,IF(I110-$I$19=0,2,IF(F111-$I$19=0,3,IF(G111-$I$19=0,5,IF(I111-$I$19=0,7,IF(F112-$I$19=0,8,IF(G112-$I$19=0,1,6))))))))</f>
        <v>2</v>
      </c>
      <c r="P112" s="321"/>
      <c r="Q112" s="519"/>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1"/>
      <c r="AM112" s="44"/>
    </row>
    <row r="113" spans="1:39" ht="15" customHeight="1" thickBot="1">
      <c r="A113" s="329"/>
      <c r="B113" s="309"/>
      <c r="C113" s="310"/>
      <c r="D113" s="40"/>
      <c r="E113" s="61" t="s">
        <v>108</v>
      </c>
      <c r="F113" s="62" t="s">
        <v>109</v>
      </c>
      <c r="G113" s="327" t="s">
        <v>110</v>
      </c>
      <c r="H113" s="327"/>
      <c r="I113" s="62" t="s">
        <v>111</v>
      </c>
      <c r="J113" s="63" t="s">
        <v>112</v>
      </c>
      <c r="K113" s="40"/>
      <c r="L113" s="316"/>
      <c r="M113" s="316"/>
      <c r="N113" s="316"/>
      <c r="O113" s="40"/>
      <c r="P113" s="322"/>
      <c r="Q113" s="522"/>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4"/>
      <c r="AM113" s="44"/>
    </row>
    <row r="114" spans="1:39" ht="13.5" thickBot="1">
      <c r="A114" s="329"/>
      <c r="B114" s="309"/>
      <c r="C114" s="310"/>
      <c r="D114" s="40"/>
      <c r="E114" s="40"/>
      <c r="F114" s="40"/>
      <c r="G114" s="40"/>
      <c r="H114" s="40"/>
      <c r="I114" s="40"/>
      <c r="J114" s="40"/>
      <c r="K114" s="40"/>
      <c r="L114" s="316"/>
      <c r="M114" s="316"/>
      <c r="N114" s="316"/>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4"/>
    </row>
    <row r="115" spans="1:39" ht="15" customHeight="1" thickBot="1">
      <c r="A115" s="329"/>
      <c r="B115" s="309"/>
      <c r="C115" s="310"/>
      <c r="D115" s="40"/>
      <c r="E115" s="47" t="s">
        <v>97</v>
      </c>
      <c r="F115" s="48" t="s">
        <v>98</v>
      </c>
      <c r="G115" s="317" t="s">
        <v>99</v>
      </c>
      <c r="H115" s="317"/>
      <c r="I115" s="48" t="s">
        <v>100</v>
      </c>
      <c r="J115" s="49" t="s">
        <v>101</v>
      </c>
      <c r="K115" s="40"/>
      <c r="L115" s="40"/>
      <c r="M115" s="191"/>
      <c r="N115" s="40"/>
      <c r="O115" s="40"/>
      <c r="P115" s="320" t="s">
        <v>275</v>
      </c>
      <c r="Q115" s="516" t="str">
        <f ca="1">VLOOKUP(O118,'Predicción x Casa'!$A$1:$C$9,3)</f>
        <v>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v>
      </c>
      <c r="R115" s="517"/>
      <c r="S115" s="517"/>
      <c r="T115" s="517"/>
      <c r="U115" s="517"/>
      <c r="V115" s="517"/>
      <c r="W115" s="517"/>
      <c r="X115" s="517"/>
      <c r="Y115" s="517"/>
      <c r="Z115" s="517"/>
      <c r="AA115" s="517"/>
      <c r="AB115" s="517"/>
      <c r="AC115" s="517"/>
      <c r="AD115" s="517"/>
      <c r="AE115" s="517"/>
      <c r="AF115" s="517"/>
      <c r="AG115" s="517"/>
      <c r="AH115" s="517"/>
      <c r="AI115" s="517"/>
      <c r="AJ115" s="517"/>
      <c r="AK115" s="517"/>
      <c r="AL115" s="518"/>
      <c r="AM115" s="44"/>
    </row>
    <row r="116" spans="1:39" ht="15" customHeight="1" thickBot="1">
      <c r="A116" s="329"/>
      <c r="B116" s="309"/>
      <c r="C116" s="310"/>
      <c r="D116" s="40"/>
      <c r="E116" s="50" t="s">
        <v>102</v>
      </c>
      <c r="F116" s="51">
        <f ca="1">IF(G117-1&lt;1,9,G117-1)</f>
        <v>9</v>
      </c>
      <c r="G116" s="326">
        <f ca="1">IF(G118-1&lt;1,9,G118-1)</f>
        <v>5</v>
      </c>
      <c r="H116" s="326"/>
      <c r="I116" s="53">
        <f ca="1">IF(F117-1&lt;1,9,F117-1)</f>
        <v>7</v>
      </c>
      <c r="J116" s="54" t="s">
        <v>103</v>
      </c>
      <c r="K116" s="193" t="s">
        <v>286</v>
      </c>
      <c r="L116" s="40"/>
      <c r="M116" s="40"/>
      <c r="N116" s="40"/>
      <c r="O116" s="40"/>
      <c r="P116" s="321"/>
      <c r="Q116" s="519"/>
      <c r="R116" s="520"/>
      <c r="S116" s="520"/>
      <c r="T116" s="520"/>
      <c r="U116" s="520"/>
      <c r="V116" s="520"/>
      <c r="W116" s="520"/>
      <c r="X116" s="520"/>
      <c r="Y116" s="520"/>
      <c r="Z116" s="520"/>
      <c r="AA116" s="520"/>
      <c r="AB116" s="520"/>
      <c r="AC116" s="520"/>
      <c r="AD116" s="520"/>
      <c r="AE116" s="520"/>
      <c r="AF116" s="520"/>
      <c r="AG116" s="520"/>
      <c r="AH116" s="520"/>
      <c r="AI116" s="520"/>
      <c r="AJ116" s="520"/>
      <c r="AK116" s="520"/>
      <c r="AL116" s="521"/>
      <c r="AM116" s="44"/>
    </row>
    <row r="117" spans="1:39" ht="15" customHeight="1">
      <c r="A117" s="329"/>
      <c r="B117" s="309"/>
      <c r="C117" s="310"/>
      <c r="D117" s="40"/>
      <c r="E117" s="55" t="s">
        <v>104</v>
      </c>
      <c r="F117" s="56">
        <f ca="1">IF(F116-1&lt;1,9,F116-1)</f>
        <v>8</v>
      </c>
      <c r="G117" s="313">
        <f ca="1">+O117</f>
        <v>1</v>
      </c>
      <c r="H117" s="314"/>
      <c r="I117" s="57">
        <f ca="1">IF(F118-1&lt;1,9,F118-1)</f>
        <v>3</v>
      </c>
      <c r="J117" s="58" t="s">
        <v>105</v>
      </c>
      <c r="K117"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17" s="318" t="s">
        <v>285</v>
      </c>
      <c r="M117" s="319"/>
      <c r="N117" s="319"/>
      <c r="O117" s="195">
        <f ca="1">HLOOKUP(K117,'Cálculo de 2a. Estrella'!$Q$3:$Z$15,5)</f>
        <v>1</v>
      </c>
      <c r="P117" s="321"/>
      <c r="Q117" s="519"/>
      <c r="R117" s="520"/>
      <c r="S117" s="520"/>
      <c r="T117" s="520"/>
      <c r="U117" s="520"/>
      <c r="V117" s="520"/>
      <c r="W117" s="520"/>
      <c r="X117" s="520"/>
      <c r="Y117" s="520"/>
      <c r="Z117" s="520"/>
      <c r="AA117" s="520"/>
      <c r="AB117" s="520"/>
      <c r="AC117" s="520"/>
      <c r="AD117" s="520"/>
      <c r="AE117" s="520"/>
      <c r="AF117" s="520"/>
      <c r="AG117" s="520"/>
      <c r="AH117" s="520"/>
      <c r="AI117" s="520"/>
      <c r="AJ117" s="520"/>
      <c r="AK117" s="520"/>
      <c r="AL117" s="521"/>
      <c r="AM117" s="44"/>
    </row>
    <row r="118" spans="1:39" ht="15" customHeight="1" thickBot="1">
      <c r="A118" s="329"/>
      <c r="B118" s="309"/>
      <c r="C118" s="310"/>
      <c r="D118" s="40"/>
      <c r="E118" s="50" t="s">
        <v>106</v>
      </c>
      <c r="F118" s="59">
        <f ca="1">IF(G116-1&lt;1,9,G116-1)</f>
        <v>4</v>
      </c>
      <c r="G118" s="315">
        <f ca="1">IF(I116-1&lt;1,9,I116-1)</f>
        <v>6</v>
      </c>
      <c r="H118" s="315"/>
      <c r="I118" s="60">
        <f ca="1">IF(I117-1&lt;1,9,I117-1)</f>
        <v>2</v>
      </c>
      <c r="J118" s="54" t="s">
        <v>107</v>
      </c>
      <c r="K118" s="323" t="str">
        <f>CONCATENATE(TEXT($I$19,"##0")," Visita la casa ")</f>
        <v xml:space="preserve">8 Visita la casa </v>
      </c>
      <c r="L118" s="324"/>
      <c r="M118" s="324"/>
      <c r="N118" s="325"/>
      <c r="O118" s="196">
        <f ca="1">IF(F116-$I$19=0,4,IF(G116-$I$19=0,9,IF(I116-$I$19=0,2,IF(F117-$I$19=0,3,IF(G117-$I$19=0,5,IF(I117-$I$19=0,7,IF(F118-$I$19=0,8,IF(G118-$I$19=0,1,6))))))))</f>
        <v>3</v>
      </c>
      <c r="P118" s="321"/>
      <c r="Q118" s="519"/>
      <c r="R118" s="520"/>
      <c r="S118" s="520"/>
      <c r="T118" s="520"/>
      <c r="U118" s="520"/>
      <c r="V118" s="520"/>
      <c r="W118" s="520"/>
      <c r="X118" s="520"/>
      <c r="Y118" s="520"/>
      <c r="Z118" s="520"/>
      <c r="AA118" s="520"/>
      <c r="AB118" s="520"/>
      <c r="AC118" s="520"/>
      <c r="AD118" s="520"/>
      <c r="AE118" s="520"/>
      <c r="AF118" s="520"/>
      <c r="AG118" s="520"/>
      <c r="AH118" s="520"/>
      <c r="AI118" s="520"/>
      <c r="AJ118" s="520"/>
      <c r="AK118" s="520"/>
      <c r="AL118" s="521"/>
      <c r="AM118" s="44"/>
    </row>
    <row r="119" spans="1:39" ht="15" customHeight="1" thickBot="1">
      <c r="A119" s="329"/>
      <c r="B119" s="309"/>
      <c r="C119" s="310"/>
      <c r="D119" s="40"/>
      <c r="E119" s="61" t="s">
        <v>108</v>
      </c>
      <c r="F119" s="62" t="s">
        <v>109</v>
      </c>
      <c r="G119" s="327" t="s">
        <v>110</v>
      </c>
      <c r="H119" s="327"/>
      <c r="I119" s="62" t="s">
        <v>111</v>
      </c>
      <c r="J119" s="63" t="s">
        <v>112</v>
      </c>
      <c r="K119" s="40"/>
      <c r="L119" s="316"/>
      <c r="M119" s="316"/>
      <c r="N119" s="316"/>
      <c r="O119" s="40"/>
      <c r="P119" s="322"/>
      <c r="Q119" s="522"/>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4"/>
      <c r="AM119" s="44"/>
    </row>
    <row r="120" spans="1:39" ht="13.5" thickBot="1">
      <c r="A120" s="329"/>
      <c r="B120" s="309"/>
      <c r="C120" s="310"/>
      <c r="D120" s="40"/>
      <c r="E120" s="40"/>
      <c r="F120" s="40"/>
      <c r="G120" s="40"/>
      <c r="H120" s="40"/>
      <c r="I120" s="40"/>
      <c r="J120" s="40"/>
      <c r="K120" s="40"/>
      <c r="L120" s="316"/>
      <c r="M120" s="316"/>
      <c r="N120" s="316"/>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4"/>
    </row>
    <row r="121" spans="1:39" ht="15" customHeight="1" thickBot="1">
      <c r="A121" s="329"/>
      <c r="B121" s="309"/>
      <c r="C121" s="310"/>
      <c r="D121" s="40"/>
      <c r="E121" s="47" t="s">
        <v>97</v>
      </c>
      <c r="F121" s="48" t="s">
        <v>98</v>
      </c>
      <c r="G121" s="317" t="s">
        <v>99</v>
      </c>
      <c r="H121" s="317"/>
      <c r="I121" s="48" t="s">
        <v>100</v>
      </c>
      <c r="J121" s="49" t="s">
        <v>101</v>
      </c>
      <c r="K121" s="40"/>
      <c r="L121" s="40"/>
      <c r="M121" s="191"/>
      <c r="N121" s="40"/>
      <c r="O121" s="40"/>
      <c r="P121" s="320" t="s">
        <v>276</v>
      </c>
      <c r="Q121" s="516" t="str">
        <f ca="1">VLOOKUP(O124,'Predicción x Casa'!$A$1:$C$9,3)</f>
        <v>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v>
      </c>
      <c r="R121" s="517"/>
      <c r="S121" s="517"/>
      <c r="T121" s="517"/>
      <c r="U121" s="517"/>
      <c r="V121" s="517"/>
      <c r="W121" s="517"/>
      <c r="X121" s="517"/>
      <c r="Y121" s="517"/>
      <c r="Z121" s="517"/>
      <c r="AA121" s="517"/>
      <c r="AB121" s="517"/>
      <c r="AC121" s="517"/>
      <c r="AD121" s="517"/>
      <c r="AE121" s="517"/>
      <c r="AF121" s="517"/>
      <c r="AG121" s="517"/>
      <c r="AH121" s="517"/>
      <c r="AI121" s="517"/>
      <c r="AJ121" s="517"/>
      <c r="AK121" s="517"/>
      <c r="AL121" s="518"/>
      <c r="AM121" s="44"/>
    </row>
    <row r="122" spans="1:39" ht="15" customHeight="1" thickBot="1">
      <c r="A122" s="329"/>
      <c r="B122" s="309"/>
      <c r="C122" s="310"/>
      <c r="D122" s="40"/>
      <c r="E122" s="50" t="s">
        <v>102</v>
      </c>
      <c r="F122" s="51">
        <f ca="1">IF(G123-1&lt;1,9,G123-1)</f>
        <v>8</v>
      </c>
      <c r="G122" s="326">
        <f ca="1">IF(G124-1&lt;1,9,G124-1)</f>
        <v>4</v>
      </c>
      <c r="H122" s="326"/>
      <c r="I122" s="53">
        <f ca="1">IF(F123-1&lt;1,9,F123-1)</f>
        <v>6</v>
      </c>
      <c r="J122" s="54" t="s">
        <v>103</v>
      </c>
      <c r="K122" s="193" t="s">
        <v>286</v>
      </c>
      <c r="L122" s="40"/>
      <c r="M122" s="40"/>
      <c r="N122" s="40"/>
      <c r="O122" s="40"/>
      <c r="P122" s="321"/>
      <c r="Q122" s="519"/>
      <c r="R122" s="520"/>
      <c r="S122" s="520"/>
      <c r="T122" s="520"/>
      <c r="U122" s="520"/>
      <c r="V122" s="520"/>
      <c r="W122" s="520"/>
      <c r="X122" s="520"/>
      <c r="Y122" s="520"/>
      <c r="Z122" s="520"/>
      <c r="AA122" s="520"/>
      <c r="AB122" s="520"/>
      <c r="AC122" s="520"/>
      <c r="AD122" s="520"/>
      <c r="AE122" s="520"/>
      <c r="AF122" s="520"/>
      <c r="AG122" s="520"/>
      <c r="AH122" s="520"/>
      <c r="AI122" s="520"/>
      <c r="AJ122" s="520"/>
      <c r="AK122" s="520"/>
      <c r="AL122" s="521"/>
      <c r="AM122" s="44"/>
    </row>
    <row r="123" spans="1:39" ht="15" customHeight="1">
      <c r="A123" s="329"/>
      <c r="B123" s="309"/>
      <c r="C123" s="310"/>
      <c r="D123" s="40"/>
      <c r="E123" s="55" t="s">
        <v>104</v>
      </c>
      <c r="F123" s="56">
        <f ca="1">IF(F122-1&lt;1,9,F122-1)</f>
        <v>7</v>
      </c>
      <c r="G123" s="313">
        <f ca="1">+O123</f>
        <v>9</v>
      </c>
      <c r="H123" s="314"/>
      <c r="I123" s="57">
        <f ca="1">IF(F124-1&lt;1,9,F124-1)</f>
        <v>2</v>
      </c>
      <c r="J123" s="58" t="s">
        <v>105</v>
      </c>
      <c r="K123"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23" s="318" t="s">
        <v>285</v>
      </c>
      <c r="M123" s="319"/>
      <c r="N123" s="319"/>
      <c r="O123" s="195">
        <f ca="1">HLOOKUP(K123,'Cálculo de 2a. Estrella'!$Q$3:$Z$15,6)</f>
        <v>9</v>
      </c>
      <c r="P123" s="321"/>
      <c r="Q123" s="519"/>
      <c r="R123" s="520"/>
      <c r="S123" s="520"/>
      <c r="T123" s="520"/>
      <c r="U123" s="520"/>
      <c r="V123" s="520"/>
      <c r="W123" s="520"/>
      <c r="X123" s="520"/>
      <c r="Y123" s="520"/>
      <c r="Z123" s="520"/>
      <c r="AA123" s="520"/>
      <c r="AB123" s="520"/>
      <c r="AC123" s="520"/>
      <c r="AD123" s="520"/>
      <c r="AE123" s="520"/>
      <c r="AF123" s="520"/>
      <c r="AG123" s="520"/>
      <c r="AH123" s="520"/>
      <c r="AI123" s="520"/>
      <c r="AJ123" s="520"/>
      <c r="AK123" s="520"/>
      <c r="AL123" s="521"/>
      <c r="AM123" s="44"/>
    </row>
    <row r="124" spans="1:39" ht="15" customHeight="1" thickBot="1">
      <c r="A124" s="329"/>
      <c r="B124" s="309"/>
      <c r="C124" s="310"/>
      <c r="D124" s="40"/>
      <c r="E124" s="50" t="s">
        <v>106</v>
      </c>
      <c r="F124" s="59">
        <f ca="1">IF(G122-1&lt;1,9,G122-1)</f>
        <v>3</v>
      </c>
      <c r="G124" s="315">
        <f ca="1">IF(I122-1&lt;1,9,I122-1)</f>
        <v>5</v>
      </c>
      <c r="H124" s="315"/>
      <c r="I124" s="60">
        <f ca="1">IF(I123-1&lt;1,9,I123-1)</f>
        <v>1</v>
      </c>
      <c r="J124" s="54" t="s">
        <v>107</v>
      </c>
      <c r="K124" s="323" t="str">
        <f>CONCATENATE(TEXT($I$19,"##0")," Visita la casa ")</f>
        <v xml:space="preserve">8 Visita la casa </v>
      </c>
      <c r="L124" s="324"/>
      <c r="M124" s="324"/>
      <c r="N124" s="325"/>
      <c r="O124" s="196">
        <f ca="1">IF(F122-$I$19=0,4,IF(G122-$I$19=0,9,IF(I122-$I$19=0,2,IF(F123-$I$19=0,3,IF(G123-$I$19=0,5,IF(I123-$I$19=0,7,IF(F124-$I$19=0,8,IF(G124-$I$19=0,1,6))))))))</f>
        <v>4</v>
      </c>
      <c r="P124" s="321"/>
      <c r="Q124" s="519"/>
      <c r="R124" s="520"/>
      <c r="S124" s="520"/>
      <c r="T124" s="520"/>
      <c r="U124" s="520"/>
      <c r="V124" s="520"/>
      <c r="W124" s="520"/>
      <c r="X124" s="520"/>
      <c r="Y124" s="520"/>
      <c r="Z124" s="520"/>
      <c r="AA124" s="520"/>
      <c r="AB124" s="520"/>
      <c r="AC124" s="520"/>
      <c r="AD124" s="520"/>
      <c r="AE124" s="520"/>
      <c r="AF124" s="520"/>
      <c r="AG124" s="520"/>
      <c r="AH124" s="520"/>
      <c r="AI124" s="520"/>
      <c r="AJ124" s="520"/>
      <c r="AK124" s="520"/>
      <c r="AL124" s="521"/>
      <c r="AM124" s="44"/>
    </row>
    <row r="125" spans="1:39" ht="15" customHeight="1" thickBot="1">
      <c r="A125" s="329"/>
      <c r="B125" s="309"/>
      <c r="C125" s="310"/>
      <c r="D125" s="40"/>
      <c r="E125" s="61" t="s">
        <v>108</v>
      </c>
      <c r="F125" s="62" t="s">
        <v>109</v>
      </c>
      <c r="G125" s="327" t="s">
        <v>110</v>
      </c>
      <c r="H125" s="327"/>
      <c r="I125" s="62" t="s">
        <v>111</v>
      </c>
      <c r="J125" s="63" t="s">
        <v>112</v>
      </c>
      <c r="K125" s="40"/>
      <c r="L125" s="316"/>
      <c r="M125" s="316"/>
      <c r="N125" s="316"/>
      <c r="O125" s="40"/>
      <c r="P125" s="322"/>
      <c r="Q125" s="522"/>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4"/>
      <c r="AM125" s="44"/>
    </row>
    <row r="126" spans="1:39" ht="13.5" thickBot="1">
      <c r="A126" s="329"/>
      <c r="B126" s="309"/>
      <c r="C126" s="310"/>
      <c r="D126" s="40"/>
      <c r="E126" s="40"/>
      <c r="F126" s="40"/>
      <c r="G126" s="40"/>
      <c r="H126" s="40"/>
      <c r="I126" s="40"/>
      <c r="J126" s="40"/>
      <c r="K126" s="40"/>
      <c r="L126" s="316"/>
      <c r="M126" s="316"/>
      <c r="N126" s="316"/>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4"/>
    </row>
    <row r="127" spans="1:39" ht="15" customHeight="1" thickBot="1">
      <c r="A127" s="329"/>
      <c r="B127" s="309"/>
      <c r="C127" s="310"/>
      <c r="D127" s="40"/>
      <c r="E127" s="47" t="s">
        <v>97</v>
      </c>
      <c r="F127" s="48" t="s">
        <v>98</v>
      </c>
      <c r="G127" s="317" t="s">
        <v>99</v>
      </c>
      <c r="H127" s="317"/>
      <c r="I127" s="48" t="s">
        <v>100</v>
      </c>
      <c r="J127" s="49" t="s">
        <v>101</v>
      </c>
      <c r="K127" s="40"/>
      <c r="L127" s="40"/>
      <c r="M127" s="191"/>
      <c r="N127" s="40"/>
      <c r="O127" s="40"/>
      <c r="P127" s="320" t="s">
        <v>277</v>
      </c>
      <c r="Q127" s="516" t="str">
        <f ca="1">VLOOKUP(O130,'Predicción x Casa'!$A$1:$C$9,3)</f>
        <v>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v>
      </c>
      <c r="R127" s="517"/>
      <c r="S127" s="517"/>
      <c r="T127" s="517"/>
      <c r="U127" s="517"/>
      <c r="V127" s="517"/>
      <c r="W127" s="517"/>
      <c r="X127" s="517"/>
      <c r="Y127" s="517"/>
      <c r="Z127" s="517"/>
      <c r="AA127" s="517"/>
      <c r="AB127" s="517"/>
      <c r="AC127" s="517"/>
      <c r="AD127" s="517"/>
      <c r="AE127" s="517"/>
      <c r="AF127" s="517"/>
      <c r="AG127" s="517"/>
      <c r="AH127" s="517"/>
      <c r="AI127" s="517"/>
      <c r="AJ127" s="517"/>
      <c r="AK127" s="517"/>
      <c r="AL127" s="518"/>
      <c r="AM127" s="44"/>
    </row>
    <row r="128" spans="1:39" ht="15" customHeight="1" thickBot="1">
      <c r="A128" s="329"/>
      <c r="B128" s="309"/>
      <c r="C128" s="310"/>
      <c r="D128" s="40"/>
      <c r="E128" s="50" t="s">
        <v>102</v>
      </c>
      <c r="F128" s="51">
        <f ca="1">IF(G129-1&lt;1,9,G129-1)</f>
        <v>7</v>
      </c>
      <c r="G128" s="326">
        <f ca="1">IF(G130-1&lt;1,9,G130-1)</f>
        <v>3</v>
      </c>
      <c r="H128" s="326"/>
      <c r="I128" s="53">
        <f ca="1">IF(F129-1&lt;1,9,F129-1)</f>
        <v>5</v>
      </c>
      <c r="J128" s="54" t="s">
        <v>103</v>
      </c>
      <c r="K128" s="193" t="s">
        <v>286</v>
      </c>
      <c r="L128" s="40"/>
      <c r="M128" s="40"/>
      <c r="N128" s="40"/>
      <c r="O128" s="40"/>
      <c r="P128" s="321"/>
      <c r="Q128" s="519"/>
      <c r="R128" s="520"/>
      <c r="S128" s="520"/>
      <c r="T128" s="520"/>
      <c r="U128" s="520"/>
      <c r="V128" s="520"/>
      <c r="W128" s="520"/>
      <c r="X128" s="520"/>
      <c r="Y128" s="520"/>
      <c r="Z128" s="520"/>
      <c r="AA128" s="520"/>
      <c r="AB128" s="520"/>
      <c r="AC128" s="520"/>
      <c r="AD128" s="520"/>
      <c r="AE128" s="520"/>
      <c r="AF128" s="520"/>
      <c r="AG128" s="520"/>
      <c r="AH128" s="520"/>
      <c r="AI128" s="520"/>
      <c r="AJ128" s="520"/>
      <c r="AK128" s="520"/>
      <c r="AL128" s="521"/>
      <c r="AM128" s="44"/>
    </row>
    <row r="129" spans="1:39" ht="15" customHeight="1">
      <c r="A129" s="329"/>
      <c r="B129" s="309"/>
      <c r="C129" s="310"/>
      <c r="D129" s="40"/>
      <c r="E129" s="55" t="s">
        <v>104</v>
      </c>
      <c r="F129" s="56">
        <f ca="1">IF(F128-1&lt;1,9,F128-1)</f>
        <v>6</v>
      </c>
      <c r="G129" s="313">
        <f ca="1">+O129</f>
        <v>8</v>
      </c>
      <c r="H129" s="314"/>
      <c r="I129" s="57">
        <f ca="1">IF(F130-1&lt;1,9,F130-1)</f>
        <v>1</v>
      </c>
      <c r="J129" s="58" t="s">
        <v>105</v>
      </c>
      <c r="K129"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29" s="318" t="s">
        <v>285</v>
      </c>
      <c r="M129" s="319"/>
      <c r="N129" s="319"/>
      <c r="O129" s="195">
        <f ca="1">HLOOKUP(K129,'Cálculo de 2a. Estrella'!$Q$3:$Z$15,7)</f>
        <v>8</v>
      </c>
      <c r="P129" s="321"/>
      <c r="Q129" s="519"/>
      <c r="R129" s="520"/>
      <c r="S129" s="520"/>
      <c r="T129" s="520"/>
      <c r="U129" s="520"/>
      <c r="V129" s="520"/>
      <c r="W129" s="520"/>
      <c r="X129" s="520"/>
      <c r="Y129" s="520"/>
      <c r="Z129" s="520"/>
      <c r="AA129" s="520"/>
      <c r="AB129" s="520"/>
      <c r="AC129" s="520"/>
      <c r="AD129" s="520"/>
      <c r="AE129" s="520"/>
      <c r="AF129" s="520"/>
      <c r="AG129" s="520"/>
      <c r="AH129" s="520"/>
      <c r="AI129" s="520"/>
      <c r="AJ129" s="520"/>
      <c r="AK129" s="520"/>
      <c r="AL129" s="521"/>
      <c r="AM129" s="44"/>
    </row>
    <row r="130" spans="1:39" ht="15" customHeight="1" thickBot="1">
      <c r="A130" s="329"/>
      <c r="B130" s="309"/>
      <c r="C130" s="310"/>
      <c r="D130" s="40"/>
      <c r="E130" s="50" t="s">
        <v>106</v>
      </c>
      <c r="F130" s="59">
        <f ca="1">IF(G128-1&lt;1,9,G128-1)</f>
        <v>2</v>
      </c>
      <c r="G130" s="315">
        <f ca="1">IF(I128-1&lt;1,9,I128-1)</f>
        <v>4</v>
      </c>
      <c r="H130" s="315"/>
      <c r="I130" s="60">
        <f ca="1">IF(I129-1&lt;1,9,I129-1)</f>
        <v>9</v>
      </c>
      <c r="J130" s="54" t="s">
        <v>107</v>
      </c>
      <c r="K130" s="323" t="str">
        <f>CONCATENATE(TEXT($I$19,"##0")," Visita la casa ")</f>
        <v xml:space="preserve">8 Visita la casa </v>
      </c>
      <c r="L130" s="324"/>
      <c r="M130" s="324"/>
      <c r="N130" s="325"/>
      <c r="O130" s="196">
        <f ca="1">IF(F128-$I$19=0,4,IF(G128-$I$19=0,9,IF(I128-$I$19=0,2,IF(F129-$I$19=0,3,IF(G129-$I$19=0,5,IF(I129-$I$19=0,7,IF(F130-$I$19=0,8,IF(G130-$I$19=0,1,6))))))))</f>
        <v>5</v>
      </c>
      <c r="P130" s="321"/>
      <c r="Q130" s="519"/>
      <c r="R130" s="520"/>
      <c r="S130" s="520"/>
      <c r="T130" s="520"/>
      <c r="U130" s="520"/>
      <c r="V130" s="520"/>
      <c r="W130" s="520"/>
      <c r="X130" s="520"/>
      <c r="Y130" s="520"/>
      <c r="Z130" s="520"/>
      <c r="AA130" s="520"/>
      <c r="AB130" s="520"/>
      <c r="AC130" s="520"/>
      <c r="AD130" s="520"/>
      <c r="AE130" s="520"/>
      <c r="AF130" s="520"/>
      <c r="AG130" s="520"/>
      <c r="AH130" s="520"/>
      <c r="AI130" s="520"/>
      <c r="AJ130" s="520"/>
      <c r="AK130" s="520"/>
      <c r="AL130" s="521"/>
      <c r="AM130" s="44"/>
    </row>
    <row r="131" spans="1:39" ht="15" customHeight="1" thickBot="1">
      <c r="A131" s="329"/>
      <c r="B131" s="309"/>
      <c r="C131" s="310"/>
      <c r="D131" s="40"/>
      <c r="E131" s="61" t="s">
        <v>108</v>
      </c>
      <c r="F131" s="62" t="s">
        <v>109</v>
      </c>
      <c r="G131" s="327" t="s">
        <v>110</v>
      </c>
      <c r="H131" s="327"/>
      <c r="I131" s="62" t="s">
        <v>111</v>
      </c>
      <c r="J131" s="63" t="s">
        <v>112</v>
      </c>
      <c r="K131" s="40"/>
      <c r="L131" s="316"/>
      <c r="M131" s="316"/>
      <c r="N131" s="316"/>
      <c r="O131" s="40"/>
      <c r="P131" s="322"/>
      <c r="Q131" s="522"/>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4"/>
      <c r="AM131" s="44"/>
    </row>
    <row r="132" spans="1:39" ht="13.5" thickBot="1">
      <c r="A132" s="329"/>
      <c r="B132" s="309"/>
      <c r="C132" s="310"/>
      <c r="D132" s="40"/>
      <c r="E132" s="40"/>
      <c r="F132" s="40"/>
      <c r="G132" s="40"/>
      <c r="H132" s="40"/>
      <c r="I132" s="40"/>
      <c r="J132" s="40"/>
      <c r="K132" s="40"/>
      <c r="L132" s="316"/>
      <c r="M132" s="316"/>
      <c r="N132" s="316"/>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4"/>
    </row>
    <row r="133" spans="1:39" ht="15" customHeight="1" thickBot="1">
      <c r="A133" s="329"/>
      <c r="B133" s="309"/>
      <c r="C133" s="310"/>
      <c r="D133" s="40"/>
      <c r="E133" s="47" t="s">
        <v>97</v>
      </c>
      <c r="F133" s="48" t="s">
        <v>98</v>
      </c>
      <c r="G133" s="317" t="s">
        <v>99</v>
      </c>
      <c r="H133" s="317"/>
      <c r="I133" s="48" t="s">
        <v>100</v>
      </c>
      <c r="J133" s="49" t="s">
        <v>101</v>
      </c>
      <c r="K133" s="40"/>
      <c r="L133" s="40"/>
      <c r="M133" s="191"/>
      <c r="N133" s="40"/>
      <c r="O133" s="40"/>
      <c r="P133" s="320" t="s">
        <v>278</v>
      </c>
      <c r="Q133" s="516" t="str">
        <f ca="1">VLOOKUP(O136,'Predicción x Casa'!$A$1:$C$9,3)</f>
        <v>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v>
      </c>
      <c r="R133" s="517"/>
      <c r="S133" s="517"/>
      <c r="T133" s="517"/>
      <c r="U133" s="517"/>
      <c r="V133" s="517"/>
      <c r="W133" s="517"/>
      <c r="X133" s="517"/>
      <c r="Y133" s="517"/>
      <c r="Z133" s="517"/>
      <c r="AA133" s="517"/>
      <c r="AB133" s="517"/>
      <c r="AC133" s="517"/>
      <c r="AD133" s="517"/>
      <c r="AE133" s="517"/>
      <c r="AF133" s="517"/>
      <c r="AG133" s="517"/>
      <c r="AH133" s="517"/>
      <c r="AI133" s="517"/>
      <c r="AJ133" s="517"/>
      <c r="AK133" s="517"/>
      <c r="AL133" s="518"/>
      <c r="AM133" s="44"/>
    </row>
    <row r="134" spans="1:39" ht="15" customHeight="1" thickBot="1">
      <c r="A134" s="329"/>
      <c r="B134" s="309"/>
      <c r="C134" s="310"/>
      <c r="D134" s="40"/>
      <c r="E134" s="50" t="s">
        <v>102</v>
      </c>
      <c r="F134" s="51">
        <f ca="1">IF(G135-1&lt;1,9,G135-1)</f>
        <v>6</v>
      </c>
      <c r="G134" s="326">
        <f ca="1">IF(G136-1&lt;1,9,G136-1)</f>
        <v>2</v>
      </c>
      <c r="H134" s="326"/>
      <c r="I134" s="53">
        <f ca="1">IF(F135-1&lt;1,9,F135-1)</f>
        <v>4</v>
      </c>
      <c r="J134" s="54" t="s">
        <v>103</v>
      </c>
      <c r="K134" s="193" t="s">
        <v>286</v>
      </c>
      <c r="L134" s="40"/>
      <c r="M134" s="40"/>
      <c r="N134" s="40"/>
      <c r="O134" s="40"/>
      <c r="P134" s="321"/>
      <c r="Q134" s="519"/>
      <c r="R134" s="520"/>
      <c r="S134" s="520"/>
      <c r="T134" s="520"/>
      <c r="U134" s="520"/>
      <c r="V134" s="520"/>
      <c r="W134" s="520"/>
      <c r="X134" s="520"/>
      <c r="Y134" s="520"/>
      <c r="Z134" s="520"/>
      <c r="AA134" s="520"/>
      <c r="AB134" s="520"/>
      <c r="AC134" s="520"/>
      <c r="AD134" s="520"/>
      <c r="AE134" s="520"/>
      <c r="AF134" s="520"/>
      <c r="AG134" s="520"/>
      <c r="AH134" s="520"/>
      <c r="AI134" s="520"/>
      <c r="AJ134" s="520"/>
      <c r="AK134" s="520"/>
      <c r="AL134" s="521"/>
      <c r="AM134" s="44"/>
    </row>
    <row r="135" spans="1:39" ht="15" customHeight="1">
      <c r="A135" s="329"/>
      <c r="B135" s="309"/>
      <c r="C135" s="310"/>
      <c r="D135" s="40"/>
      <c r="E135" s="55" t="s">
        <v>104</v>
      </c>
      <c r="F135" s="56">
        <f ca="1">IF(F134-1&lt;1,9,F134-1)</f>
        <v>5</v>
      </c>
      <c r="G135" s="313">
        <f ca="1">+O135</f>
        <v>7</v>
      </c>
      <c r="H135" s="314"/>
      <c r="I135" s="57">
        <f ca="1">IF(F136-1&lt;1,9,F136-1)</f>
        <v>9</v>
      </c>
      <c r="J135" s="58" t="s">
        <v>105</v>
      </c>
      <c r="K135"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35" s="318" t="s">
        <v>285</v>
      </c>
      <c r="M135" s="319"/>
      <c r="N135" s="319"/>
      <c r="O135" s="195">
        <f ca="1">HLOOKUP(K135,'Cálculo de 2a. Estrella'!$Q$3:$Z$15,8)</f>
        <v>7</v>
      </c>
      <c r="P135" s="321"/>
      <c r="Q135" s="519"/>
      <c r="R135" s="520"/>
      <c r="S135" s="520"/>
      <c r="T135" s="520"/>
      <c r="U135" s="520"/>
      <c r="V135" s="520"/>
      <c r="W135" s="520"/>
      <c r="X135" s="520"/>
      <c r="Y135" s="520"/>
      <c r="Z135" s="520"/>
      <c r="AA135" s="520"/>
      <c r="AB135" s="520"/>
      <c r="AC135" s="520"/>
      <c r="AD135" s="520"/>
      <c r="AE135" s="520"/>
      <c r="AF135" s="520"/>
      <c r="AG135" s="520"/>
      <c r="AH135" s="520"/>
      <c r="AI135" s="520"/>
      <c r="AJ135" s="520"/>
      <c r="AK135" s="520"/>
      <c r="AL135" s="521"/>
      <c r="AM135" s="44"/>
    </row>
    <row r="136" spans="1:39" ht="15" customHeight="1" thickBot="1">
      <c r="A136" s="329"/>
      <c r="B136" s="309"/>
      <c r="C136" s="310"/>
      <c r="D136" s="40"/>
      <c r="E136" s="50" t="s">
        <v>106</v>
      </c>
      <c r="F136" s="59">
        <f ca="1">IF(G134-1&lt;1,9,G134-1)</f>
        <v>1</v>
      </c>
      <c r="G136" s="315">
        <f ca="1">IF(I134-1&lt;1,9,I134-1)</f>
        <v>3</v>
      </c>
      <c r="H136" s="315"/>
      <c r="I136" s="60">
        <f ca="1">IF(I135-1&lt;1,9,I135-1)</f>
        <v>8</v>
      </c>
      <c r="J136" s="54" t="s">
        <v>107</v>
      </c>
      <c r="K136" s="323" t="str">
        <f>CONCATENATE(TEXT($I$19,"##0")," Visita la casa ")</f>
        <v xml:space="preserve">8 Visita la casa </v>
      </c>
      <c r="L136" s="324"/>
      <c r="M136" s="324"/>
      <c r="N136" s="325"/>
      <c r="O136" s="196">
        <f ca="1">IF(F134-$I$19=0,4,IF(G134-$I$19=0,9,IF(I134-$I$19=0,2,IF(F135-$I$19=0,3,IF(G135-$I$19=0,5,IF(I135-$I$19=0,7,IF(F136-$I$19=0,8,IF(G136-$I$19=0,1,6))))))))</f>
        <v>6</v>
      </c>
      <c r="P136" s="321"/>
      <c r="Q136" s="519"/>
      <c r="R136" s="520"/>
      <c r="S136" s="520"/>
      <c r="T136" s="520"/>
      <c r="U136" s="520"/>
      <c r="V136" s="520"/>
      <c r="W136" s="520"/>
      <c r="X136" s="520"/>
      <c r="Y136" s="520"/>
      <c r="Z136" s="520"/>
      <c r="AA136" s="520"/>
      <c r="AB136" s="520"/>
      <c r="AC136" s="520"/>
      <c r="AD136" s="520"/>
      <c r="AE136" s="520"/>
      <c r="AF136" s="520"/>
      <c r="AG136" s="520"/>
      <c r="AH136" s="520"/>
      <c r="AI136" s="520"/>
      <c r="AJ136" s="520"/>
      <c r="AK136" s="520"/>
      <c r="AL136" s="521"/>
      <c r="AM136" s="44"/>
    </row>
    <row r="137" spans="1:39" ht="15" customHeight="1" thickBot="1">
      <c r="A137" s="330"/>
      <c r="B137" s="311"/>
      <c r="C137" s="312"/>
      <c r="D137" s="40"/>
      <c r="E137" s="61" t="s">
        <v>108</v>
      </c>
      <c r="F137" s="62" t="s">
        <v>109</v>
      </c>
      <c r="G137" s="327" t="s">
        <v>110</v>
      </c>
      <c r="H137" s="327"/>
      <c r="I137" s="62" t="s">
        <v>111</v>
      </c>
      <c r="J137" s="63" t="s">
        <v>112</v>
      </c>
      <c r="K137" s="40"/>
      <c r="L137" s="316"/>
      <c r="M137" s="316"/>
      <c r="N137" s="316"/>
      <c r="O137" s="40"/>
      <c r="P137" s="322"/>
      <c r="Q137" s="522"/>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4"/>
      <c r="AM137" s="44"/>
    </row>
    <row r="138" spans="1:39" ht="13.5" thickBot="1">
      <c r="A138" s="41"/>
      <c r="B138" s="42"/>
      <c r="C138" s="42"/>
      <c r="D138" s="42"/>
      <c r="E138" s="42"/>
      <c r="F138" s="42"/>
      <c r="G138" s="42"/>
      <c r="H138" s="42"/>
      <c r="I138" s="42"/>
      <c r="J138" s="42"/>
      <c r="K138" s="42"/>
      <c r="L138" s="526"/>
      <c r="M138" s="526"/>
      <c r="N138" s="526"/>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5"/>
    </row>
    <row r="139" spans="1:39" ht="13.5" thickBot="1">
      <c r="A139" s="37"/>
      <c r="B139" s="38"/>
      <c r="C139" s="38"/>
      <c r="D139" s="38"/>
      <c r="E139" s="38"/>
      <c r="F139" s="38"/>
      <c r="G139" s="38"/>
      <c r="H139" s="38"/>
      <c r="I139" s="38"/>
      <c r="J139" s="38"/>
      <c r="K139" s="38"/>
      <c r="L139" s="527"/>
      <c r="M139" s="527"/>
      <c r="N139" s="527"/>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43"/>
    </row>
    <row r="140" spans="1:39" ht="15" customHeight="1" thickBot="1">
      <c r="A140" s="328" t="str">
        <f ca="1">CONCATENATE("PREDICCIONES DEL HORÓSCOPO CHINO PARA EL AÑO ",UPPER(LOOKUP(L8,Horóscopo!K4:L123,Horóscopo!A4:A123)))</f>
        <v>PREDICCIONES DEL HORÓSCOPO CHINO PARA EL AÑO JABALÍ</v>
      </c>
      <c r="B140" s="307">
        <f ca="1">+B103</f>
        <v>2022</v>
      </c>
      <c r="C140" s="308"/>
      <c r="D140" s="40"/>
      <c r="E140" s="47" t="s">
        <v>97</v>
      </c>
      <c r="F140" s="48" t="s">
        <v>98</v>
      </c>
      <c r="G140" s="317" t="s">
        <v>99</v>
      </c>
      <c r="H140" s="317"/>
      <c r="I140" s="48" t="s">
        <v>100</v>
      </c>
      <c r="J140" s="49" t="s">
        <v>101</v>
      </c>
      <c r="K140" s="40"/>
      <c r="L140" s="40"/>
      <c r="M140" s="191"/>
      <c r="N140" s="40"/>
      <c r="O140" s="40"/>
      <c r="P140" s="320" t="s">
        <v>279</v>
      </c>
      <c r="Q140" s="516" t="str">
        <f ca="1">VLOOKUP(O143,'Predicción x Casa'!$A$1:$C$9,3)</f>
        <v>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v>
      </c>
      <c r="R140" s="517"/>
      <c r="S140" s="517"/>
      <c r="T140" s="517"/>
      <c r="U140" s="517"/>
      <c r="V140" s="517"/>
      <c r="W140" s="517"/>
      <c r="X140" s="517"/>
      <c r="Y140" s="517"/>
      <c r="Z140" s="517"/>
      <c r="AA140" s="517"/>
      <c r="AB140" s="517"/>
      <c r="AC140" s="517"/>
      <c r="AD140" s="517"/>
      <c r="AE140" s="517"/>
      <c r="AF140" s="517"/>
      <c r="AG140" s="517"/>
      <c r="AH140" s="517"/>
      <c r="AI140" s="517"/>
      <c r="AJ140" s="517"/>
      <c r="AK140" s="517"/>
      <c r="AL140" s="518"/>
      <c r="AM140" s="44"/>
    </row>
    <row r="141" spans="1:39" ht="15" customHeight="1" thickBot="1">
      <c r="A141" s="329"/>
      <c r="B141" s="309"/>
      <c r="C141" s="310"/>
      <c r="D141" s="40"/>
      <c r="E141" s="50" t="s">
        <v>102</v>
      </c>
      <c r="F141" s="51">
        <f ca="1">IF(G142-1&lt;1,9,G142-1)</f>
        <v>5</v>
      </c>
      <c r="G141" s="326">
        <f ca="1">IF(G143-1&lt;1,9,G143-1)</f>
        <v>1</v>
      </c>
      <c r="H141" s="326"/>
      <c r="I141" s="53">
        <f ca="1">IF(F142-1&lt;1,9,F142-1)</f>
        <v>3</v>
      </c>
      <c r="J141" s="54" t="s">
        <v>103</v>
      </c>
      <c r="K141" s="193" t="s">
        <v>286</v>
      </c>
      <c r="L141" s="40"/>
      <c r="M141" s="40"/>
      <c r="N141" s="40"/>
      <c r="O141" s="40"/>
      <c r="P141" s="321"/>
      <c r="Q141" s="519"/>
      <c r="R141" s="520"/>
      <c r="S141" s="520"/>
      <c r="T141" s="520"/>
      <c r="U141" s="520"/>
      <c r="V141" s="520"/>
      <c r="W141" s="520"/>
      <c r="X141" s="520"/>
      <c r="Y141" s="520"/>
      <c r="Z141" s="520"/>
      <c r="AA141" s="520"/>
      <c r="AB141" s="520"/>
      <c r="AC141" s="520"/>
      <c r="AD141" s="520"/>
      <c r="AE141" s="520"/>
      <c r="AF141" s="520"/>
      <c r="AG141" s="520"/>
      <c r="AH141" s="520"/>
      <c r="AI141" s="520"/>
      <c r="AJ141" s="520"/>
      <c r="AK141" s="520"/>
      <c r="AL141" s="521"/>
      <c r="AM141" s="44"/>
    </row>
    <row r="142" spans="1:39" ht="15" customHeight="1">
      <c r="A142" s="329"/>
      <c r="B142" s="309"/>
      <c r="C142" s="310"/>
      <c r="D142" s="40"/>
      <c r="E142" s="55" t="s">
        <v>104</v>
      </c>
      <c r="F142" s="56">
        <f ca="1">IF(F141-1&lt;1,9,F141-1)</f>
        <v>4</v>
      </c>
      <c r="G142" s="313">
        <f ca="1">+O142</f>
        <v>6</v>
      </c>
      <c r="H142" s="314"/>
      <c r="I142" s="57">
        <f ca="1">IF(F143-1&lt;1,9,F143-1)</f>
        <v>8</v>
      </c>
      <c r="J142" s="58" t="s">
        <v>105</v>
      </c>
      <c r="K142"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42" s="318" t="s">
        <v>285</v>
      </c>
      <c r="M142" s="319"/>
      <c r="N142" s="319"/>
      <c r="O142" s="195">
        <f ca="1">HLOOKUP(K142,'Cálculo de 2a. Estrella'!$Q$3:$Z$15,9)</f>
        <v>6</v>
      </c>
      <c r="P142" s="321"/>
      <c r="Q142" s="519"/>
      <c r="R142" s="520"/>
      <c r="S142" s="520"/>
      <c r="T142" s="520"/>
      <c r="U142" s="520"/>
      <c r="V142" s="520"/>
      <c r="W142" s="520"/>
      <c r="X142" s="520"/>
      <c r="Y142" s="520"/>
      <c r="Z142" s="520"/>
      <c r="AA142" s="520"/>
      <c r="AB142" s="520"/>
      <c r="AC142" s="520"/>
      <c r="AD142" s="520"/>
      <c r="AE142" s="520"/>
      <c r="AF142" s="520"/>
      <c r="AG142" s="520"/>
      <c r="AH142" s="520"/>
      <c r="AI142" s="520"/>
      <c r="AJ142" s="520"/>
      <c r="AK142" s="520"/>
      <c r="AL142" s="521"/>
      <c r="AM142" s="44"/>
    </row>
    <row r="143" spans="1:39" ht="15" customHeight="1" thickBot="1">
      <c r="A143" s="329"/>
      <c r="B143" s="309"/>
      <c r="C143" s="310"/>
      <c r="D143" s="40"/>
      <c r="E143" s="50" t="s">
        <v>106</v>
      </c>
      <c r="F143" s="59">
        <f ca="1">IF(G141-1&lt;1,9,G141-1)</f>
        <v>9</v>
      </c>
      <c r="G143" s="315">
        <f ca="1">IF(I141-1&lt;1,9,I141-1)</f>
        <v>2</v>
      </c>
      <c r="H143" s="315"/>
      <c r="I143" s="60">
        <f ca="1">IF(I142-1&lt;1,9,I142-1)</f>
        <v>7</v>
      </c>
      <c r="J143" s="54" t="s">
        <v>107</v>
      </c>
      <c r="K143" s="323" t="str">
        <f>CONCATENATE(TEXT($I$19,"##0")," Visita la casa ")</f>
        <v xml:space="preserve">8 Visita la casa </v>
      </c>
      <c r="L143" s="324"/>
      <c r="M143" s="324"/>
      <c r="N143" s="325"/>
      <c r="O143" s="196">
        <f ca="1">IF(F141-$I$19=0,4,IF(G141-$I$19=0,9,IF(I141-$I$19=0,2,IF(F142-$I$19=0,3,IF(G142-$I$19=0,5,IF(I142-$I$19=0,7,IF(F143-$I$19=0,8,IF(G143-$I$19=0,1,6))))))))</f>
        <v>7</v>
      </c>
      <c r="P143" s="321"/>
      <c r="Q143" s="519"/>
      <c r="R143" s="520"/>
      <c r="S143" s="520"/>
      <c r="T143" s="520"/>
      <c r="U143" s="520"/>
      <c r="V143" s="520"/>
      <c r="W143" s="520"/>
      <c r="X143" s="520"/>
      <c r="Y143" s="520"/>
      <c r="Z143" s="520"/>
      <c r="AA143" s="520"/>
      <c r="AB143" s="520"/>
      <c r="AC143" s="520"/>
      <c r="AD143" s="520"/>
      <c r="AE143" s="520"/>
      <c r="AF143" s="520"/>
      <c r="AG143" s="520"/>
      <c r="AH143" s="520"/>
      <c r="AI143" s="520"/>
      <c r="AJ143" s="520"/>
      <c r="AK143" s="520"/>
      <c r="AL143" s="521"/>
      <c r="AM143" s="44"/>
    </row>
    <row r="144" spans="1:39" ht="15" customHeight="1" thickBot="1">
      <c r="A144" s="329"/>
      <c r="B144" s="309"/>
      <c r="C144" s="310"/>
      <c r="D144" s="40"/>
      <c r="E144" s="61" t="s">
        <v>108</v>
      </c>
      <c r="F144" s="62" t="s">
        <v>109</v>
      </c>
      <c r="G144" s="327" t="s">
        <v>110</v>
      </c>
      <c r="H144" s="327"/>
      <c r="I144" s="62" t="s">
        <v>111</v>
      </c>
      <c r="J144" s="63" t="s">
        <v>112</v>
      </c>
      <c r="K144" s="40"/>
      <c r="L144" s="316"/>
      <c r="M144" s="316"/>
      <c r="N144" s="316"/>
      <c r="O144" s="40"/>
      <c r="P144" s="322"/>
      <c r="Q144" s="522"/>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4"/>
      <c r="AM144" s="44"/>
    </row>
    <row r="145" spans="1:39" ht="13.5" thickBot="1">
      <c r="A145" s="329"/>
      <c r="B145" s="309"/>
      <c r="C145" s="310"/>
      <c r="D145" s="40"/>
      <c r="E145" s="40"/>
      <c r="F145" s="40"/>
      <c r="G145" s="40"/>
      <c r="H145" s="40"/>
      <c r="I145" s="40"/>
      <c r="J145" s="40"/>
      <c r="K145" s="40"/>
      <c r="L145" s="316"/>
      <c r="M145" s="316"/>
      <c r="N145" s="316"/>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4"/>
    </row>
    <row r="146" spans="1:39" ht="15" customHeight="1" thickBot="1">
      <c r="A146" s="329"/>
      <c r="B146" s="309"/>
      <c r="C146" s="310"/>
      <c r="D146" s="40"/>
      <c r="E146" s="47" t="s">
        <v>97</v>
      </c>
      <c r="F146" s="48" t="s">
        <v>98</v>
      </c>
      <c r="G146" s="317" t="s">
        <v>99</v>
      </c>
      <c r="H146" s="317"/>
      <c r="I146" s="48" t="s">
        <v>100</v>
      </c>
      <c r="J146" s="49" t="s">
        <v>101</v>
      </c>
      <c r="K146" s="40"/>
      <c r="L146" s="40"/>
      <c r="M146" s="191"/>
      <c r="N146" s="40"/>
      <c r="O146" s="40"/>
      <c r="P146" s="320" t="s">
        <v>280</v>
      </c>
      <c r="Q146" s="516" t="str">
        <f ca="1">VLOOKUP(O149,'Predicción x Casa'!$A$1:$C$9,3)</f>
        <v>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v>
      </c>
      <c r="R146" s="517"/>
      <c r="S146" s="517"/>
      <c r="T146" s="517"/>
      <c r="U146" s="517"/>
      <c r="V146" s="517"/>
      <c r="W146" s="517"/>
      <c r="X146" s="517"/>
      <c r="Y146" s="517"/>
      <c r="Z146" s="517"/>
      <c r="AA146" s="517"/>
      <c r="AB146" s="517"/>
      <c r="AC146" s="517"/>
      <c r="AD146" s="517"/>
      <c r="AE146" s="517"/>
      <c r="AF146" s="517"/>
      <c r="AG146" s="517"/>
      <c r="AH146" s="517"/>
      <c r="AI146" s="517"/>
      <c r="AJ146" s="517"/>
      <c r="AK146" s="517"/>
      <c r="AL146" s="518"/>
      <c r="AM146" s="44"/>
    </row>
    <row r="147" spans="1:39" ht="15" customHeight="1" thickBot="1">
      <c r="A147" s="329"/>
      <c r="B147" s="309"/>
      <c r="C147" s="310"/>
      <c r="D147" s="40"/>
      <c r="E147" s="50" t="s">
        <v>102</v>
      </c>
      <c r="F147" s="51">
        <f ca="1">IF(G148-1&lt;1,9,G148-1)</f>
        <v>4</v>
      </c>
      <c r="G147" s="326">
        <f ca="1">IF(G149-1&lt;1,9,G149-1)</f>
        <v>9</v>
      </c>
      <c r="H147" s="326"/>
      <c r="I147" s="53">
        <f ca="1">IF(F148-1&lt;1,9,F148-1)</f>
        <v>2</v>
      </c>
      <c r="J147" s="54" t="s">
        <v>103</v>
      </c>
      <c r="K147" s="193" t="s">
        <v>286</v>
      </c>
      <c r="L147" s="40"/>
      <c r="M147" s="40"/>
      <c r="N147" s="40"/>
      <c r="O147" s="40"/>
      <c r="P147" s="321"/>
      <c r="Q147" s="519"/>
      <c r="R147" s="520"/>
      <c r="S147" s="520"/>
      <c r="T147" s="520"/>
      <c r="U147" s="520"/>
      <c r="V147" s="520"/>
      <c r="W147" s="520"/>
      <c r="X147" s="520"/>
      <c r="Y147" s="520"/>
      <c r="Z147" s="520"/>
      <c r="AA147" s="520"/>
      <c r="AB147" s="520"/>
      <c r="AC147" s="520"/>
      <c r="AD147" s="520"/>
      <c r="AE147" s="520"/>
      <c r="AF147" s="520"/>
      <c r="AG147" s="520"/>
      <c r="AH147" s="520"/>
      <c r="AI147" s="520"/>
      <c r="AJ147" s="520"/>
      <c r="AK147" s="520"/>
      <c r="AL147" s="521"/>
      <c r="AM147" s="44"/>
    </row>
    <row r="148" spans="1:39" ht="15" customHeight="1">
      <c r="A148" s="329"/>
      <c r="B148" s="309"/>
      <c r="C148" s="310"/>
      <c r="D148" s="40"/>
      <c r="E148" s="55" t="s">
        <v>104</v>
      </c>
      <c r="F148" s="56">
        <f ca="1">IF(F147-1&lt;1,9,F147-1)</f>
        <v>3</v>
      </c>
      <c r="G148" s="313">
        <f ca="1">+O148</f>
        <v>5</v>
      </c>
      <c r="H148" s="314"/>
      <c r="I148" s="57">
        <f ca="1">IF(F149-1&lt;1,9,F149-1)</f>
        <v>7</v>
      </c>
      <c r="J148" s="58" t="s">
        <v>105</v>
      </c>
      <c r="K148"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48" s="318" t="s">
        <v>285</v>
      </c>
      <c r="M148" s="319"/>
      <c r="N148" s="319"/>
      <c r="O148" s="195">
        <f ca="1">HLOOKUP(K148,'Cálculo de 2a. Estrella'!$Q$3:$Z$15,10)</f>
        <v>5</v>
      </c>
      <c r="P148" s="321"/>
      <c r="Q148" s="519"/>
      <c r="R148" s="520"/>
      <c r="S148" s="520"/>
      <c r="T148" s="520"/>
      <c r="U148" s="520"/>
      <c r="V148" s="520"/>
      <c r="W148" s="520"/>
      <c r="X148" s="520"/>
      <c r="Y148" s="520"/>
      <c r="Z148" s="520"/>
      <c r="AA148" s="520"/>
      <c r="AB148" s="520"/>
      <c r="AC148" s="520"/>
      <c r="AD148" s="520"/>
      <c r="AE148" s="520"/>
      <c r="AF148" s="520"/>
      <c r="AG148" s="520"/>
      <c r="AH148" s="520"/>
      <c r="AI148" s="520"/>
      <c r="AJ148" s="520"/>
      <c r="AK148" s="520"/>
      <c r="AL148" s="521"/>
      <c r="AM148" s="44"/>
    </row>
    <row r="149" spans="1:39" ht="15" customHeight="1" thickBot="1">
      <c r="A149" s="329"/>
      <c r="B149" s="309"/>
      <c r="C149" s="310"/>
      <c r="D149" s="40"/>
      <c r="E149" s="50" t="s">
        <v>106</v>
      </c>
      <c r="F149" s="59">
        <f ca="1">IF(G147-1&lt;1,9,G147-1)</f>
        <v>8</v>
      </c>
      <c r="G149" s="315">
        <f ca="1">IF(I147-1&lt;1,9,I147-1)</f>
        <v>1</v>
      </c>
      <c r="H149" s="315"/>
      <c r="I149" s="60">
        <f ca="1">IF(I148-1&lt;1,9,I148-1)</f>
        <v>6</v>
      </c>
      <c r="J149" s="54" t="s">
        <v>107</v>
      </c>
      <c r="K149" s="323" t="str">
        <f>CONCATENATE(TEXT($I$19,"##0")," Visita la casa ")</f>
        <v xml:space="preserve">8 Visita la casa </v>
      </c>
      <c r="L149" s="324"/>
      <c r="M149" s="324"/>
      <c r="N149" s="325"/>
      <c r="O149" s="196">
        <f ca="1">IF(F147-$I$19=0,4,IF(G147-$I$19=0,9,IF(I147-$I$19=0,2,IF(F148-$I$19=0,3,IF(G148-$I$19=0,5,IF(I148-$I$19=0,7,IF(F149-$I$19=0,8,IF(G149-$I$19=0,1,6))))))))</f>
        <v>8</v>
      </c>
      <c r="P149" s="321"/>
      <c r="Q149" s="519"/>
      <c r="R149" s="520"/>
      <c r="S149" s="520"/>
      <c r="T149" s="520"/>
      <c r="U149" s="520"/>
      <c r="V149" s="520"/>
      <c r="W149" s="520"/>
      <c r="X149" s="520"/>
      <c r="Y149" s="520"/>
      <c r="Z149" s="520"/>
      <c r="AA149" s="520"/>
      <c r="AB149" s="520"/>
      <c r="AC149" s="520"/>
      <c r="AD149" s="520"/>
      <c r="AE149" s="520"/>
      <c r="AF149" s="520"/>
      <c r="AG149" s="520"/>
      <c r="AH149" s="520"/>
      <c r="AI149" s="520"/>
      <c r="AJ149" s="520"/>
      <c r="AK149" s="520"/>
      <c r="AL149" s="521"/>
      <c r="AM149" s="44"/>
    </row>
    <row r="150" spans="1:39" ht="15" customHeight="1" thickBot="1">
      <c r="A150" s="329"/>
      <c r="B150" s="309"/>
      <c r="C150" s="310"/>
      <c r="D150" s="40"/>
      <c r="E150" s="61" t="s">
        <v>108</v>
      </c>
      <c r="F150" s="62" t="s">
        <v>109</v>
      </c>
      <c r="G150" s="327" t="s">
        <v>110</v>
      </c>
      <c r="H150" s="327"/>
      <c r="I150" s="62" t="s">
        <v>111</v>
      </c>
      <c r="J150" s="63" t="s">
        <v>112</v>
      </c>
      <c r="K150" s="40"/>
      <c r="L150" s="316"/>
      <c r="M150" s="316"/>
      <c r="N150" s="316"/>
      <c r="O150" s="40"/>
      <c r="P150" s="322"/>
      <c r="Q150" s="522"/>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4"/>
      <c r="AM150" s="44"/>
    </row>
    <row r="151" spans="1:39" ht="13.5" thickBot="1">
      <c r="A151" s="329"/>
      <c r="B151" s="309"/>
      <c r="C151" s="310"/>
      <c r="D151" s="40"/>
      <c r="E151" s="40"/>
      <c r="F151" s="40"/>
      <c r="G151" s="40"/>
      <c r="H151" s="40"/>
      <c r="I151" s="40"/>
      <c r="J151" s="40"/>
      <c r="K151" s="40"/>
      <c r="L151" s="316"/>
      <c r="M151" s="316"/>
      <c r="N151" s="316"/>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4"/>
    </row>
    <row r="152" spans="1:39" ht="15" customHeight="1" thickBot="1">
      <c r="A152" s="329"/>
      <c r="B152" s="309"/>
      <c r="C152" s="310"/>
      <c r="D152" s="40"/>
      <c r="E152" s="47" t="s">
        <v>97</v>
      </c>
      <c r="F152" s="48" t="s">
        <v>98</v>
      </c>
      <c r="G152" s="317" t="s">
        <v>99</v>
      </c>
      <c r="H152" s="317"/>
      <c r="I152" s="48" t="s">
        <v>100</v>
      </c>
      <c r="J152" s="49" t="s">
        <v>101</v>
      </c>
      <c r="K152" s="40"/>
      <c r="L152" s="40"/>
      <c r="M152" s="191"/>
      <c r="N152" s="40"/>
      <c r="O152" s="40"/>
      <c r="P152" s="320" t="s">
        <v>281</v>
      </c>
      <c r="Q152" s="516" t="str">
        <f ca="1">VLOOKUP(O155,'Predicción x Casa'!$A$1:$C$9,3)</f>
        <v>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v>
      </c>
      <c r="R152" s="517"/>
      <c r="S152" s="517"/>
      <c r="T152" s="517"/>
      <c r="U152" s="517"/>
      <c r="V152" s="517"/>
      <c r="W152" s="517"/>
      <c r="X152" s="517"/>
      <c r="Y152" s="517"/>
      <c r="Z152" s="517"/>
      <c r="AA152" s="517"/>
      <c r="AB152" s="517"/>
      <c r="AC152" s="517"/>
      <c r="AD152" s="517"/>
      <c r="AE152" s="517"/>
      <c r="AF152" s="517"/>
      <c r="AG152" s="517"/>
      <c r="AH152" s="517"/>
      <c r="AI152" s="517"/>
      <c r="AJ152" s="517"/>
      <c r="AK152" s="517"/>
      <c r="AL152" s="518"/>
      <c r="AM152" s="44"/>
    </row>
    <row r="153" spans="1:39" ht="15" customHeight="1" thickBot="1">
      <c r="A153" s="329"/>
      <c r="B153" s="309"/>
      <c r="C153" s="310"/>
      <c r="D153" s="40"/>
      <c r="E153" s="50" t="s">
        <v>102</v>
      </c>
      <c r="F153" s="51">
        <f ca="1">IF(G154-1&lt;1,9,G154-1)</f>
        <v>3</v>
      </c>
      <c r="G153" s="326">
        <f ca="1">IF(G155-1&lt;1,9,G155-1)</f>
        <v>8</v>
      </c>
      <c r="H153" s="326"/>
      <c r="I153" s="53">
        <f ca="1">IF(F154-1&lt;1,9,F154-1)</f>
        <v>1</v>
      </c>
      <c r="J153" s="54" t="s">
        <v>103</v>
      </c>
      <c r="K153" s="193" t="s">
        <v>286</v>
      </c>
      <c r="L153" s="40"/>
      <c r="M153" s="40"/>
      <c r="N153" s="40"/>
      <c r="O153" s="40"/>
      <c r="P153" s="321"/>
      <c r="Q153" s="519"/>
      <c r="R153" s="520"/>
      <c r="S153" s="520"/>
      <c r="T153" s="520"/>
      <c r="U153" s="520"/>
      <c r="V153" s="520"/>
      <c r="W153" s="520"/>
      <c r="X153" s="520"/>
      <c r="Y153" s="520"/>
      <c r="Z153" s="520"/>
      <c r="AA153" s="520"/>
      <c r="AB153" s="520"/>
      <c r="AC153" s="520"/>
      <c r="AD153" s="520"/>
      <c r="AE153" s="520"/>
      <c r="AF153" s="520"/>
      <c r="AG153" s="520"/>
      <c r="AH153" s="520"/>
      <c r="AI153" s="520"/>
      <c r="AJ153" s="520"/>
      <c r="AK153" s="520"/>
      <c r="AL153" s="521"/>
      <c r="AM153" s="44"/>
    </row>
    <row r="154" spans="1:39" ht="15" customHeight="1">
      <c r="A154" s="329"/>
      <c r="B154" s="309"/>
      <c r="C154" s="310"/>
      <c r="D154" s="40"/>
      <c r="E154" s="55" t="s">
        <v>104</v>
      </c>
      <c r="F154" s="56">
        <f ca="1">IF(F153-1&lt;1,9,F153-1)</f>
        <v>2</v>
      </c>
      <c r="G154" s="313">
        <f ca="1">+O154</f>
        <v>4</v>
      </c>
      <c r="H154" s="314"/>
      <c r="I154" s="57">
        <f ca="1">IF(F155-1&lt;1,9,F155-1)</f>
        <v>6</v>
      </c>
      <c r="J154" s="58" t="s">
        <v>105</v>
      </c>
      <c r="K154"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54" s="318" t="s">
        <v>285</v>
      </c>
      <c r="M154" s="319"/>
      <c r="N154" s="319"/>
      <c r="O154" s="195">
        <f ca="1">HLOOKUP(K154,'Cálculo de 2a. Estrella'!$Q$3:$Z$15,11)</f>
        <v>4</v>
      </c>
      <c r="P154" s="321"/>
      <c r="Q154" s="519"/>
      <c r="R154" s="520"/>
      <c r="S154" s="520"/>
      <c r="T154" s="520"/>
      <c r="U154" s="520"/>
      <c r="V154" s="520"/>
      <c r="W154" s="520"/>
      <c r="X154" s="520"/>
      <c r="Y154" s="520"/>
      <c r="Z154" s="520"/>
      <c r="AA154" s="520"/>
      <c r="AB154" s="520"/>
      <c r="AC154" s="520"/>
      <c r="AD154" s="520"/>
      <c r="AE154" s="520"/>
      <c r="AF154" s="520"/>
      <c r="AG154" s="520"/>
      <c r="AH154" s="520"/>
      <c r="AI154" s="520"/>
      <c r="AJ154" s="520"/>
      <c r="AK154" s="520"/>
      <c r="AL154" s="521"/>
      <c r="AM154" s="44"/>
    </row>
    <row r="155" spans="1:39" ht="15" customHeight="1" thickBot="1">
      <c r="A155" s="329"/>
      <c r="B155" s="309"/>
      <c r="C155" s="310"/>
      <c r="D155" s="40"/>
      <c r="E155" s="50" t="s">
        <v>106</v>
      </c>
      <c r="F155" s="59">
        <f ca="1">IF(G153-1&lt;1,9,G153-1)</f>
        <v>7</v>
      </c>
      <c r="G155" s="315">
        <f ca="1">IF(I153-1&lt;1,9,I153-1)</f>
        <v>9</v>
      </c>
      <c r="H155" s="315"/>
      <c r="I155" s="60">
        <f ca="1">IF(I154-1&lt;1,9,I154-1)</f>
        <v>5</v>
      </c>
      <c r="J155" s="54" t="s">
        <v>107</v>
      </c>
      <c r="K155" s="323" t="str">
        <f>CONCATENATE(TEXT($I$19,"##0")," Visita la casa ")</f>
        <v xml:space="preserve">8 Visita la casa </v>
      </c>
      <c r="L155" s="324"/>
      <c r="M155" s="324"/>
      <c r="N155" s="325"/>
      <c r="O155" s="196">
        <f ca="1">IF(F153-$I$19=0,4,IF(G153-$I$19=0,9,IF(I153-$I$19=0,2,IF(F154-$I$19=0,3,IF(G154-$I$19=0,5,IF(I154-$I$19=0,7,IF(F155-$I$19=0,8,IF(G155-$I$19=0,1,6))))))))</f>
        <v>9</v>
      </c>
      <c r="P155" s="321"/>
      <c r="Q155" s="519"/>
      <c r="R155" s="520"/>
      <c r="S155" s="520"/>
      <c r="T155" s="520"/>
      <c r="U155" s="520"/>
      <c r="V155" s="520"/>
      <c r="W155" s="520"/>
      <c r="X155" s="520"/>
      <c r="Y155" s="520"/>
      <c r="Z155" s="520"/>
      <c r="AA155" s="520"/>
      <c r="AB155" s="520"/>
      <c r="AC155" s="520"/>
      <c r="AD155" s="520"/>
      <c r="AE155" s="520"/>
      <c r="AF155" s="520"/>
      <c r="AG155" s="520"/>
      <c r="AH155" s="520"/>
      <c r="AI155" s="520"/>
      <c r="AJ155" s="520"/>
      <c r="AK155" s="520"/>
      <c r="AL155" s="521"/>
      <c r="AM155" s="44"/>
    </row>
    <row r="156" spans="1:39" ht="15" customHeight="1" thickBot="1">
      <c r="A156" s="329"/>
      <c r="B156" s="309"/>
      <c r="C156" s="310"/>
      <c r="D156" s="40"/>
      <c r="E156" s="61" t="s">
        <v>108</v>
      </c>
      <c r="F156" s="62" t="s">
        <v>109</v>
      </c>
      <c r="G156" s="327" t="s">
        <v>110</v>
      </c>
      <c r="H156" s="327"/>
      <c r="I156" s="62" t="s">
        <v>111</v>
      </c>
      <c r="J156" s="63" t="s">
        <v>112</v>
      </c>
      <c r="K156" s="40"/>
      <c r="L156" s="316"/>
      <c r="M156" s="316"/>
      <c r="N156" s="316"/>
      <c r="O156" s="40"/>
      <c r="P156" s="322"/>
      <c r="Q156" s="522"/>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4"/>
      <c r="AM156" s="44"/>
    </row>
    <row r="157" spans="1:39" ht="13.5" thickBot="1">
      <c r="A157" s="329"/>
      <c r="B157" s="309"/>
      <c r="C157" s="310"/>
      <c r="D157" s="40"/>
      <c r="E157" s="40"/>
      <c r="F157" s="40"/>
      <c r="G157" s="40"/>
      <c r="H157" s="40"/>
      <c r="I157" s="40"/>
      <c r="J157" s="40"/>
      <c r="K157" s="40"/>
      <c r="L157" s="316"/>
      <c r="M157" s="316"/>
      <c r="N157" s="316"/>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4"/>
    </row>
    <row r="158" spans="1:39" ht="15" customHeight="1" thickBot="1">
      <c r="A158" s="329"/>
      <c r="B158" s="309"/>
      <c r="C158" s="310"/>
      <c r="D158" s="40"/>
      <c r="E158" s="47" t="s">
        <v>97</v>
      </c>
      <c r="F158" s="48" t="s">
        <v>98</v>
      </c>
      <c r="G158" s="317" t="s">
        <v>99</v>
      </c>
      <c r="H158" s="317"/>
      <c r="I158" s="48" t="s">
        <v>100</v>
      </c>
      <c r="J158" s="49" t="s">
        <v>101</v>
      </c>
      <c r="K158" s="40"/>
      <c r="L158" s="40"/>
      <c r="M158" s="191"/>
      <c r="N158" s="40"/>
      <c r="O158" s="40"/>
      <c r="P158" s="320" t="s">
        <v>282</v>
      </c>
      <c r="Q158" s="516" t="str">
        <f ca="1">VLOOKUP(O161,'Predicción x Casa'!$A$1:$C$9,3)</f>
        <v>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v>
      </c>
      <c r="R158" s="517"/>
      <c r="S158" s="517"/>
      <c r="T158" s="517"/>
      <c r="U158" s="517"/>
      <c r="V158" s="517"/>
      <c r="W158" s="517"/>
      <c r="X158" s="517"/>
      <c r="Y158" s="517"/>
      <c r="Z158" s="517"/>
      <c r="AA158" s="517"/>
      <c r="AB158" s="517"/>
      <c r="AC158" s="517"/>
      <c r="AD158" s="517"/>
      <c r="AE158" s="517"/>
      <c r="AF158" s="517"/>
      <c r="AG158" s="517"/>
      <c r="AH158" s="517"/>
      <c r="AI158" s="517"/>
      <c r="AJ158" s="517"/>
      <c r="AK158" s="517"/>
      <c r="AL158" s="518"/>
      <c r="AM158" s="44"/>
    </row>
    <row r="159" spans="1:39" ht="15" customHeight="1" thickBot="1">
      <c r="A159" s="329"/>
      <c r="B159" s="309"/>
      <c r="C159" s="310"/>
      <c r="D159" s="40"/>
      <c r="E159" s="50" t="s">
        <v>102</v>
      </c>
      <c r="F159" s="51">
        <f ca="1">IF(G160-1&lt;1,9,G160-1)</f>
        <v>2</v>
      </c>
      <c r="G159" s="326">
        <f ca="1">IF(G161-1&lt;1,9,G161-1)</f>
        <v>7</v>
      </c>
      <c r="H159" s="326"/>
      <c r="I159" s="53">
        <f ca="1">IF(F160-1&lt;1,9,F160-1)</f>
        <v>9</v>
      </c>
      <c r="J159" s="54" t="s">
        <v>103</v>
      </c>
      <c r="K159" s="193" t="s">
        <v>286</v>
      </c>
      <c r="L159" s="40"/>
      <c r="M159" s="40"/>
      <c r="N159" s="40"/>
      <c r="O159" s="40"/>
      <c r="P159" s="321"/>
      <c r="Q159" s="519"/>
      <c r="R159" s="520"/>
      <c r="S159" s="520"/>
      <c r="T159" s="520"/>
      <c r="U159" s="520"/>
      <c r="V159" s="520"/>
      <c r="W159" s="520"/>
      <c r="X159" s="520"/>
      <c r="Y159" s="520"/>
      <c r="Z159" s="520"/>
      <c r="AA159" s="520"/>
      <c r="AB159" s="520"/>
      <c r="AC159" s="520"/>
      <c r="AD159" s="520"/>
      <c r="AE159" s="520"/>
      <c r="AF159" s="520"/>
      <c r="AG159" s="520"/>
      <c r="AH159" s="520"/>
      <c r="AI159" s="520"/>
      <c r="AJ159" s="520"/>
      <c r="AK159" s="520"/>
      <c r="AL159" s="521"/>
      <c r="AM159" s="44"/>
    </row>
    <row r="160" spans="1:39" ht="15" customHeight="1">
      <c r="A160" s="329"/>
      <c r="B160" s="309"/>
      <c r="C160" s="310"/>
      <c r="D160" s="40"/>
      <c r="E160" s="55" t="s">
        <v>104</v>
      </c>
      <c r="F160" s="56">
        <f ca="1">IF(F159-1&lt;1,9,F159-1)</f>
        <v>1</v>
      </c>
      <c r="G160" s="313">
        <f ca="1">+O160</f>
        <v>3</v>
      </c>
      <c r="H160" s="314"/>
      <c r="I160" s="57">
        <f ca="1">IF(F161-1&lt;1,9,F161-1)</f>
        <v>5</v>
      </c>
      <c r="J160" s="58" t="s">
        <v>105</v>
      </c>
      <c r="K160"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60" s="318" t="s">
        <v>285</v>
      </c>
      <c r="M160" s="319"/>
      <c r="N160" s="319"/>
      <c r="O160" s="195">
        <f ca="1">HLOOKUP(K160,'Cálculo de 2a. Estrella'!$Q$3:$Z$15,12)</f>
        <v>3</v>
      </c>
      <c r="P160" s="321"/>
      <c r="Q160" s="519"/>
      <c r="R160" s="520"/>
      <c r="S160" s="520"/>
      <c r="T160" s="520"/>
      <c r="U160" s="520"/>
      <c r="V160" s="520"/>
      <c r="W160" s="520"/>
      <c r="X160" s="520"/>
      <c r="Y160" s="520"/>
      <c r="Z160" s="520"/>
      <c r="AA160" s="520"/>
      <c r="AB160" s="520"/>
      <c r="AC160" s="520"/>
      <c r="AD160" s="520"/>
      <c r="AE160" s="520"/>
      <c r="AF160" s="520"/>
      <c r="AG160" s="520"/>
      <c r="AH160" s="520"/>
      <c r="AI160" s="520"/>
      <c r="AJ160" s="520"/>
      <c r="AK160" s="520"/>
      <c r="AL160" s="521"/>
      <c r="AM160" s="44"/>
    </row>
    <row r="161" spans="1:39" ht="15" customHeight="1" thickBot="1">
      <c r="A161" s="329"/>
      <c r="B161" s="309"/>
      <c r="C161" s="310"/>
      <c r="D161" s="40"/>
      <c r="E161" s="50" t="s">
        <v>106</v>
      </c>
      <c r="F161" s="59">
        <f ca="1">IF(G159-1&lt;1,9,G159-1)</f>
        <v>6</v>
      </c>
      <c r="G161" s="315">
        <f ca="1">IF(I159-1&lt;1,9,I159-1)</f>
        <v>8</v>
      </c>
      <c r="H161" s="315"/>
      <c r="I161" s="60">
        <f ca="1">IF(I160-1&lt;1,9,I160-1)</f>
        <v>4</v>
      </c>
      <c r="J161" s="54" t="s">
        <v>107</v>
      </c>
      <c r="K161" s="323" t="str">
        <f>CONCATENATE(TEXT($I$19,"##0")," Visita la casa ")</f>
        <v xml:space="preserve">8 Visita la casa </v>
      </c>
      <c r="L161" s="324"/>
      <c r="M161" s="324"/>
      <c r="N161" s="325"/>
      <c r="O161" s="196">
        <f ca="1">IF(F159-$I$19=0,4,IF(G159-$I$19=0,9,IF(I159-$I$19=0,2,IF(F160-$I$19=0,3,IF(G160-$I$19=0,5,IF(I160-$I$19=0,7,IF(F161-$I$19=0,8,IF(G161-$I$19=0,1,6))))))))</f>
        <v>1</v>
      </c>
      <c r="P161" s="321"/>
      <c r="Q161" s="519"/>
      <c r="R161" s="520"/>
      <c r="S161" s="520"/>
      <c r="T161" s="520"/>
      <c r="U161" s="520"/>
      <c r="V161" s="520"/>
      <c r="W161" s="520"/>
      <c r="X161" s="520"/>
      <c r="Y161" s="520"/>
      <c r="Z161" s="520"/>
      <c r="AA161" s="520"/>
      <c r="AB161" s="520"/>
      <c r="AC161" s="520"/>
      <c r="AD161" s="520"/>
      <c r="AE161" s="520"/>
      <c r="AF161" s="520"/>
      <c r="AG161" s="520"/>
      <c r="AH161" s="520"/>
      <c r="AI161" s="520"/>
      <c r="AJ161" s="520"/>
      <c r="AK161" s="520"/>
      <c r="AL161" s="521"/>
      <c r="AM161" s="44"/>
    </row>
    <row r="162" spans="1:39" ht="15" customHeight="1" thickBot="1">
      <c r="A162" s="329"/>
      <c r="B162" s="309"/>
      <c r="C162" s="310"/>
      <c r="D162" s="40"/>
      <c r="E162" s="61" t="s">
        <v>108</v>
      </c>
      <c r="F162" s="62" t="s">
        <v>109</v>
      </c>
      <c r="G162" s="327" t="s">
        <v>110</v>
      </c>
      <c r="H162" s="327"/>
      <c r="I162" s="62" t="s">
        <v>111</v>
      </c>
      <c r="J162" s="63" t="s">
        <v>112</v>
      </c>
      <c r="K162" s="40"/>
      <c r="L162" s="316"/>
      <c r="M162" s="316"/>
      <c r="N162" s="316"/>
      <c r="O162" s="40"/>
      <c r="P162" s="322"/>
      <c r="Q162" s="522"/>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4"/>
      <c r="AM162" s="44"/>
    </row>
    <row r="163" spans="1:39" ht="13.5" thickBot="1">
      <c r="A163" s="329"/>
      <c r="B163" s="309"/>
      <c r="C163" s="310"/>
      <c r="D163" s="40"/>
      <c r="E163" s="40"/>
      <c r="F163" s="40"/>
      <c r="G163" s="40"/>
      <c r="H163" s="40"/>
      <c r="I163" s="40"/>
      <c r="J163" s="40"/>
      <c r="K163" s="40"/>
      <c r="L163" s="316"/>
      <c r="M163" s="316"/>
      <c r="N163" s="316"/>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4"/>
    </row>
    <row r="164" spans="1:39" ht="15" customHeight="1" thickBot="1">
      <c r="A164" s="329"/>
      <c r="B164" s="309"/>
      <c r="C164" s="310"/>
      <c r="D164" s="40"/>
      <c r="E164" s="47" t="s">
        <v>97</v>
      </c>
      <c r="F164" s="48" t="s">
        <v>98</v>
      </c>
      <c r="G164" s="317" t="s">
        <v>99</v>
      </c>
      <c r="H164" s="317"/>
      <c r="I164" s="48" t="s">
        <v>100</v>
      </c>
      <c r="J164" s="49" t="s">
        <v>101</v>
      </c>
      <c r="K164" s="40"/>
      <c r="L164" s="40"/>
      <c r="M164" s="191"/>
      <c r="N164" s="40"/>
      <c r="O164" s="40"/>
      <c r="P164" s="356" t="s">
        <v>283</v>
      </c>
      <c r="Q164" s="516" t="str">
        <f ca="1">VLOOKUP(O167,'Predicción x Casa'!$A$1:$C$9,3)</f>
        <v>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v>
      </c>
      <c r="R164" s="517"/>
      <c r="S164" s="517"/>
      <c r="T164" s="517"/>
      <c r="U164" s="517"/>
      <c r="V164" s="517"/>
      <c r="W164" s="517"/>
      <c r="X164" s="517"/>
      <c r="Y164" s="517"/>
      <c r="Z164" s="517"/>
      <c r="AA164" s="517"/>
      <c r="AB164" s="517"/>
      <c r="AC164" s="517"/>
      <c r="AD164" s="517"/>
      <c r="AE164" s="517"/>
      <c r="AF164" s="517"/>
      <c r="AG164" s="517"/>
      <c r="AH164" s="517"/>
      <c r="AI164" s="517"/>
      <c r="AJ164" s="517"/>
      <c r="AK164" s="517"/>
      <c r="AL164" s="518"/>
      <c r="AM164" s="44"/>
    </row>
    <row r="165" spans="1:39" ht="15" customHeight="1" thickBot="1">
      <c r="A165" s="329"/>
      <c r="B165" s="309"/>
      <c r="C165" s="310"/>
      <c r="D165" s="40"/>
      <c r="E165" s="50" t="s">
        <v>102</v>
      </c>
      <c r="F165" s="51">
        <f ca="1">IF(G166-1&lt;1,9,G166-1)</f>
        <v>1</v>
      </c>
      <c r="G165" s="326">
        <f ca="1">IF(G167-1&lt;1,9,G167-1)</f>
        <v>6</v>
      </c>
      <c r="H165" s="326"/>
      <c r="I165" s="53">
        <f ca="1">IF(F166-1&lt;1,9,F166-1)</f>
        <v>8</v>
      </c>
      <c r="J165" s="54" t="s">
        <v>103</v>
      </c>
      <c r="K165" s="193" t="s">
        <v>286</v>
      </c>
      <c r="L165" s="40"/>
      <c r="M165" s="40"/>
      <c r="N165" s="40"/>
      <c r="O165" s="40"/>
      <c r="P165" s="357"/>
      <c r="Q165" s="519"/>
      <c r="R165" s="520"/>
      <c r="S165" s="520"/>
      <c r="T165" s="520"/>
      <c r="U165" s="520"/>
      <c r="V165" s="520"/>
      <c r="W165" s="520"/>
      <c r="X165" s="520"/>
      <c r="Y165" s="520"/>
      <c r="Z165" s="520"/>
      <c r="AA165" s="520"/>
      <c r="AB165" s="520"/>
      <c r="AC165" s="520"/>
      <c r="AD165" s="520"/>
      <c r="AE165" s="520"/>
      <c r="AF165" s="520"/>
      <c r="AG165" s="520"/>
      <c r="AH165" s="520"/>
      <c r="AI165" s="520"/>
      <c r="AJ165" s="520"/>
      <c r="AK165" s="520"/>
      <c r="AL165" s="521"/>
      <c r="AM165" s="44"/>
    </row>
    <row r="166" spans="1:39" ht="15" customHeight="1">
      <c r="A166" s="329"/>
      <c r="B166" s="309"/>
      <c r="C166" s="310"/>
      <c r="D166" s="40"/>
      <c r="E166" s="55" t="s">
        <v>104</v>
      </c>
      <c r="F166" s="56">
        <f ca="1">IF(F165-1&lt;1,9,F165-1)</f>
        <v>9</v>
      </c>
      <c r="G166" s="313">
        <f ca="1">+O166</f>
        <v>2</v>
      </c>
      <c r="H166" s="314"/>
      <c r="I166" s="57">
        <f ca="1">IF(F167-1&lt;1,9,F167-1)</f>
        <v>4</v>
      </c>
      <c r="J166" s="58" t="s">
        <v>105</v>
      </c>
      <c r="K166"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66" s="318" t="s">
        <v>285</v>
      </c>
      <c r="M166" s="319"/>
      <c r="N166" s="319"/>
      <c r="O166" s="195">
        <f ca="1">HLOOKUP(K166,'Cálculo de 2a. Estrella'!$Q$3:$Z$15,13)</f>
        <v>2</v>
      </c>
      <c r="P166" s="357"/>
      <c r="Q166" s="519"/>
      <c r="R166" s="520"/>
      <c r="S166" s="520"/>
      <c r="T166" s="520"/>
      <c r="U166" s="520"/>
      <c r="V166" s="520"/>
      <c r="W166" s="520"/>
      <c r="X166" s="520"/>
      <c r="Y166" s="520"/>
      <c r="Z166" s="520"/>
      <c r="AA166" s="520"/>
      <c r="AB166" s="520"/>
      <c r="AC166" s="520"/>
      <c r="AD166" s="520"/>
      <c r="AE166" s="520"/>
      <c r="AF166" s="520"/>
      <c r="AG166" s="520"/>
      <c r="AH166" s="520"/>
      <c r="AI166" s="520"/>
      <c r="AJ166" s="520"/>
      <c r="AK166" s="520"/>
      <c r="AL166" s="521"/>
      <c r="AM166" s="44"/>
    </row>
    <row r="167" spans="1:39" ht="15" customHeight="1" thickBot="1">
      <c r="A167" s="329"/>
      <c r="B167" s="309"/>
      <c r="C167" s="310"/>
      <c r="D167" s="40"/>
      <c r="E167" s="50" t="s">
        <v>106</v>
      </c>
      <c r="F167" s="59">
        <f ca="1">IF(G165-1&lt;1,9,G165-1)</f>
        <v>5</v>
      </c>
      <c r="G167" s="315">
        <f ca="1">IF(I165-1&lt;1,9,I165-1)</f>
        <v>7</v>
      </c>
      <c r="H167" s="315"/>
      <c r="I167" s="60">
        <f ca="1">IF(I166-1&lt;1,9,I166-1)</f>
        <v>3</v>
      </c>
      <c r="J167" s="54" t="s">
        <v>107</v>
      </c>
      <c r="K167" s="323" t="str">
        <f>CONCATENATE(TEXT($I$19,"##0")," Visita la casa ")</f>
        <v xml:space="preserve">8 Visita la casa </v>
      </c>
      <c r="L167" s="324"/>
      <c r="M167" s="324"/>
      <c r="N167" s="325"/>
      <c r="O167" s="196">
        <f ca="1">IF(F165-$I$19=0,4,IF(G165-$I$19=0,9,IF(I165-$I$19=0,2,IF(F166-$I$19=0,3,IF(G166-$I$19=0,5,IF(I166-$I$19=0,7,IF(F167-$I$19=0,8,IF(G167-$I$19=0,1,6))))))))</f>
        <v>2</v>
      </c>
      <c r="P167" s="357"/>
      <c r="Q167" s="519"/>
      <c r="R167" s="520"/>
      <c r="S167" s="520"/>
      <c r="T167" s="520"/>
      <c r="U167" s="520"/>
      <c r="V167" s="520"/>
      <c r="W167" s="520"/>
      <c r="X167" s="520"/>
      <c r="Y167" s="520"/>
      <c r="Z167" s="520"/>
      <c r="AA167" s="520"/>
      <c r="AB167" s="520"/>
      <c r="AC167" s="520"/>
      <c r="AD167" s="520"/>
      <c r="AE167" s="520"/>
      <c r="AF167" s="520"/>
      <c r="AG167" s="520"/>
      <c r="AH167" s="520"/>
      <c r="AI167" s="520"/>
      <c r="AJ167" s="520"/>
      <c r="AK167" s="520"/>
      <c r="AL167" s="521"/>
      <c r="AM167" s="44"/>
    </row>
    <row r="168" spans="1:39" ht="15" customHeight="1" thickBot="1">
      <c r="A168" s="329"/>
      <c r="B168" s="309"/>
      <c r="C168" s="310"/>
      <c r="D168" s="40"/>
      <c r="E168" s="61" t="s">
        <v>108</v>
      </c>
      <c r="F168" s="62" t="s">
        <v>109</v>
      </c>
      <c r="G168" s="327" t="s">
        <v>110</v>
      </c>
      <c r="H168" s="327"/>
      <c r="I168" s="62" t="s">
        <v>111</v>
      </c>
      <c r="J168" s="63" t="s">
        <v>112</v>
      </c>
      <c r="K168" s="40"/>
      <c r="L168" s="316"/>
      <c r="M168" s="316"/>
      <c r="N168" s="316"/>
      <c r="O168" s="40"/>
      <c r="P168" s="358"/>
      <c r="Q168" s="522"/>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4"/>
      <c r="AM168" s="44"/>
    </row>
    <row r="169" spans="1:39" ht="13.5" thickBot="1">
      <c r="A169" s="329"/>
      <c r="B169" s="309"/>
      <c r="C169" s="310"/>
      <c r="D169" s="40"/>
      <c r="E169" s="40"/>
      <c r="F169" s="40"/>
      <c r="G169" s="40"/>
      <c r="H169" s="40"/>
      <c r="I169" s="40"/>
      <c r="J169" s="40"/>
      <c r="K169" s="40"/>
      <c r="L169" s="316"/>
      <c r="M169" s="316"/>
      <c r="N169" s="316"/>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4"/>
    </row>
    <row r="170" spans="1:39" ht="15" customHeight="1" thickBot="1">
      <c r="A170" s="329"/>
      <c r="B170" s="309"/>
      <c r="C170" s="310"/>
      <c r="D170" s="40"/>
      <c r="E170" s="47" t="s">
        <v>97</v>
      </c>
      <c r="F170" s="48" t="s">
        <v>98</v>
      </c>
      <c r="G170" s="317" t="s">
        <v>99</v>
      </c>
      <c r="H170" s="317"/>
      <c r="I170" s="48" t="s">
        <v>100</v>
      </c>
      <c r="J170" s="49" t="s">
        <v>101</v>
      </c>
      <c r="K170" s="40"/>
      <c r="L170" s="40"/>
      <c r="M170" s="191"/>
      <c r="N170" s="40"/>
      <c r="O170" s="40"/>
      <c r="P170" s="320" t="s">
        <v>284</v>
      </c>
      <c r="Q170" s="516" t="str">
        <f ca="1">VLOOKUP(O173,'Predicción x Casa'!$A$1:$C$9,3)</f>
        <v>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v>
      </c>
      <c r="R170" s="517"/>
      <c r="S170" s="517"/>
      <c r="T170" s="517"/>
      <c r="U170" s="517"/>
      <c r="V170" s="517"/>
      <c r="W170" s="517"/>
      <c r="X170" s="517"/>
      <c r="Y170" s="517"/>
      <c r="Z170" s="517"/>
      <c r="AA170" s="517"/>
      <c r="AB170" s="517"/>
      <c r="AC170" s="517"/>
      <c r="AD170" s="517"/>
      <c r="AE170" s="517"/>
      <c r="AF170" s="517"/>
      <c r="AG170" s="517"/>
      <c r="AH170" s="517"/>
      <c r="AI170" s="517"/>
      <c r="AJ170" s="517"/>
      <c r="AK170" s="517"/>
      <c r="AL170" s="518"/>
      <c r="AM170" s="44"/>
    </row>
    <row r="171" spans="1:39" ht="15" customHeight="1" thickBot="1">
      <c r="A171" s="329"/>
      <c r="B171" s="309"/>
      <c r="C171" s="310"/>
      <c r="D171" s="40"/>
      <c r="E171" s="50" t="s">
        <v>102</v>
      </c>
      <c r="F171" s="51">
        <f ca="1">IF(G172-1&lt;1,9,G172-1)</f>
        <v>9</v>
      </c>
      <c r="G171" s="326">
        <f ca="1">IF(G173-1&lt;1,9,G173-1)</f>
        <v>5</v>
      </c>
      <c r="H171" s="326"/>
      <c r="I171" s="53">
        <f ca="1">IF(F172-1&lt;1,9,F172-1)</f>
        <v>7</v>
      </c>
      <c r="J171" s="54" t="s">
        <v>103</v>
      </c>
      <c r="K171" s="193" t="s">
        <v>286</v>
      </c>
      <c r="L171" s="40"/>
      <c r="M171" s="40"/>
      <c r="N171" s="40"/>
      <c r="O171" s="40"/>
      <c r="P171" s="321"/>
      <c r="Q171" s="519"/>
      <c r="R171" s="520"/>
      <c r="S171" s="520"/>
      <c r="T171" s="520"/>
      <c r="U171" s="520"/>
      <c r="V171" s="520"/>
      <c r="W171" s="520"/>
      <c r="X171" s="520"/>
      <c r="Y171" s="520"/>
      <c r="Z171" s="520"/>
      <c r="AA171" s="520"/>
      <c r="AB171" s="520"/>
      <c r="AC171" s="520"/>
      <c r="AD171" s="520"/>
      <c r="AE171" s="520"/>
      <c r="AF171" s="520"/>
      <c r="AG171" s="520"/>
      <c r="AH171" s="520"/>
      <c r="AI171" s="520"/>
      <c r="AJ171" s="520"/>
      <c r="AK171" s="520"/>
      <c r="AL171" s="521"/>
      <c r="AM171" s="44"/>
    </row>
    <row r="172" spans="1:39" ht="15" customHeight="1">
      <c r="A172" s="329"/>
      <c r="B172" s="309"/>
      <c r="C172" s="310"/>
      <c r="D172" s="40"/>
      <c r="E172" s="55" t="s">
        <v>104</v>
      </c>
      <c r="F172" s="56">
        <f ca="1">IF(F171-1&lt;1,9,F171-1)</f>
        <v>8</v>
      </c>
      <c r="G172" s="313">
        <f ca="1">+O172</f>
        <v>1</v>
      </c>
      <c r="H172" s="314"/>
      <c r="I172" s="57">
        <f ca="1">IF(F173-1&lt;1,9,F173-1)</f>
        <v>3</v>
      </c>
      <c r="J172" s="58" t="s">
        <v>105</v>
      </c>
      <c r="K172"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5</v>
      </c>
      <c r="L172" s="318" t="s">
        <v>285</v>
      </c>
      <c r="M172" s="319"/>
      <c r="N172" s="319"/>
      <c r="O172" s="195">
        <f ca="1">HLOOKUP(K172,'Cálculo de 2a. Estrella'!$Q$3:$Z$15,2)</f>
        <v>1</v>
      </c>
      <c r="P172" s="321"/>
      <c r="Q172" s="519"/>
      <c r="R172" s="520"/>
      <c r="S172" s="520"/>
      <c r="T172" s="520"/>
      <c r="U172" s="520"/>
      <c r="V172" s="520"/>
      <c r="W172" s="520"/>
      <c r="X172" s="520"/>
      <c r="Y172" s="520"/>
      <c r="Z172" s="520"/>
      <c r="AA172" s="520"/>
      <c r="AB172" s="520"/>
      <c r="AC172" s="520"/>
      <c r="AD172" s="520"/>
      <c r="AE172" s="520"/>
      <c r="AF172" s="520"/>
      <c r="AG172" s="520"/>
      <c r="AH172" s="520"/>
      <c r="AI172" s="520"/>
      <c r="AJ172" s="520"/>
      <c r="AK172" s="520"/>
      <c r="AL172" s="521"/>
      <c r="AM172" s="44"/>
    </row>
    <row r="173" spans="1:39" ht="15" customHeight="1" thickBot="1">
      <c r="A173" s="329"/>
      <c r="B173" s="309"/>
      <c r="C173" s="310"/>
      <c r="D173" s="40"/>
      <c r="E173" s="50" t="s">
        <v>106</v>
      </c>
      <c r="F173" s="59">
        <f ca="1">IF(G171-1&lt;1,9,G171-1)</f>
        <v>4</v>
      </c>
      <c r="G173" s="315">
        <f ca="1">IF(I171-1&lt;1,9,I171-1)</f>
        <v>6</v>
      </c>
      <c r="H173" s="315"/>
      <c r="I173" s="60">
        <f ca="1">IF(I172-1&lt;1,9,I172-1)</f>
        <v>2</v>
      </c>
      <c r="J173" s="54" t="s">
        <v>107</v>
      </c>
      <c r="K173" s="323" t="str">
        <f>CONCATENATE(TEXT($I$19,"##0")," Visita la casa ")</f>
        <v xml:space="preserve">8 Visita la casa </v>
      </c>
      <c r="L173" s="324"/>
      <c r="M173" s="324"/>
      <c r="N173" s="325"/>
      <c r="O173" s="196">
        <f ca="1">IF(F171-$I$19=0,4,IF(G171-$I$19=0,9,IF(I171-$I$19=0,2,IF(F172-$I$19=0,3,IF(G172-$I$19=0,5,IF(I172-$I$19=0,7,IF(F173-$I$19=0,8,IF(G173-$I$19=0,1,6))))))))</f>
        <v>3</v>
      </c>
      <c r="P173" s="321"/>
      <c r="Q173" s="519"/>
      <c r="R173" s="520"/>
      <c r="S173" s="520"/>
      <c r="T173" s="520"/>
      <c r="U173" s="520"/>
      <c r="V173" s="520"/>
      <c r="W173" s="520"/>
      <c r="X173" s="520"/>
      <c r="Y173" s="520"/>
      <c r="Z173" s="520"/>
      <c r="AA173" s="520"/>
      <c r="AB173" s="520"/>
      <c r="AC173" s="520"/>
      <c r="AD173" s="520"/>
      <c r="AE173" s="520"/>
      <c r="AF173" s="520"/>
      <c r="AG173" s="520"/>
      <c r="AH173" s="520"/>
      <c r="AI173" s="520"/>
      <c r="AJ173" s="520"/>
      <c r="AK173" s="520"/>
      <c r="AL173" s="521"/>
      <c r="AM173" s="44"/>
    </row>
    <row r="174" spans="1:39" ht="15" customHeight="1" thickBot="1">
      <c r="A174" s="330"/>
      <c r="B174" s="311"/>
      <c r="C174" s="312"/>
      <c r="D174" s="40"/>
      <c r="E174" s="61" t="s">
        <v>108</v>
      </c>
      <c r="F174" s="62" t="s">
        <v>109</v>
      </c>
      <c r="G174" s="327" t="s">
        <v>110</v>
      </c>
      <c r="H174" s="327"/>
      <c r="I174" s="62" t="s">
        <v>111</v>
      </c>
      <c r="J174" s="63" t="s">
        <v>112</v>
      </c>
      <c r="K174" s="40"/>
      <c r="L174" s="316"/>
      <c r="M174" s="316"/>
      <c r="N174" s="316"/>
      <c r="O174" s="40"/>
      <c r="P174" s="322"/>
      <c r="Q174" s="522"/>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4"/>
      <c r="AM174" s="44"/>
    </row>
    <row r="175" spans="1:39">
      <c r="A175" s="39"/>
      <c r="B175" s="40"/>
      <c r="C175" s="40"/>
      <c r="D175" s="40"/>
      <c r="E175" s="40"/>
      <c r="F175" s="40"/>
      <c r="G175" s="40"/>
      <c r="H175" s="40"/>
      <c r="I175" s="40"/>
      <c r="J175" s="40"/>
      <c r="K175" s="40"/>
      <c r="L175" s="316"/>
      <c r="M175" s="316"/>
      <c r="N175" s="316"/>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4"/>
    </row>
    <row r="176" spans="1:39" ht="13.5" thickBot="1">
      <c r="A176" s="41"/>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5"/>
    </row>
    <row r="178" spans="1:52">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row>
    <row r="179" spans="1:52">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row>
    <row r="180" spans="1:52">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c r="AG180" s="228"/>
      <c r="AH180" s="228"/>
      <c r="AI180" s="228"/>
      <c r="AJ180" s="228"/>
      <c r="AK180" s="228"/>
      <c r="AL180" s="228"/>
      <c r="AM180" s="228"/>
      <c r="AN180" s="228"/>
      <c r="AO180" s="228"/>
    </row>
    <row r="181" spans="1:52">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row>
  </sheetData>
  <mergeCells count="264">
    <mergeCell ref="AJ2:AL3"/>
    <mergeCell ref="AJ5:AL6"/>
    <mergeCell ref="A103:A137"/>
    <mergeCell ref="L114:N114"/>
    <mergeCell ref="L120:N120"/>
    <mergeCell ref="L126:N126"/>
    <mergeCell ref="L132:N132"/>
    <mergeCell ref="K118:N118"/>
    <mergeCell ref="G136:H136"/>
    <mergeCell ref="G137:H137"/>
    <mergeCell ref="B103:C137"/>
    <mergeCell ref="L137:N137"/>
    <mergeCell ref="G103:H103"/>
    <mergeCell ref="G104:H104"/>
    <mergeCell ref="L119:N119"/>
    <mergeCell ref="L108:N108"/>
    <mergeCell ref="G115:H115"/>
    <mergeCell ref="G116:H116"/>
    <mergeCell ref="G117:H117"/>
    <mergeCell ref="G112:H112"/>
    <mergeCell ref="G113:H113"/>
    <mergeCell ref="G110:H110"/>
    <mergeCell ref="Q121:AL125"/>
    <mergeCell ref="Q127:AL131"/>
    <mergeCell ref="G146:H146"/>
    <mergeCell ref="G152:H152"/>
    <mergeCell ref="G147:H147"/>
    <mergeCell ref="G148:H148"/>
    <mergeCell ref="G149:H149"/>
    <mergeCell ref="G150:H150"/>
    <mergeCell ref="L175:N175"/>
    <mergeCell ref="G164:H164"/>
    <mergeCell ref="G165:H165"/>
    <mergeCell ref="G166:H166"/>
    <mergeCell ref="L166:N166"/>
    <mergeCell ref="G173:H173"/>
    <mergeCell ref="G174:H174"/>
    <mergeCell ref="L174:N174"/>
    <mergeCell ref="L169:N169"/>
    <mergeCell ref="G170:H170"/>
    <mergeCell ref="G171:H171"/>
    <mergeCell ref="G172:H172"/>
    <mergeCell ref="L172:N172"/>
    <mergeCell ref="G167:H167"/>
    <mergeCell ref="G168:H168"/>
    <mergeCell ref="L168:N168"/>
    <mergeCell ref="K167:N167"/>
    <mergeCell ref="G161:H161"/>
    <mergeCell ref="G162:H162"/>
    <mergeCell ref="L162:N162"/>
    <mergeCell ref="G153:H153"/>
    <mergeCell ref="G154:H154"/>
    <mergeCell ref="G155:H155"/>
    <mergeCell ref="G156:H156"/>
    <mergeCell ref="G160:H160"/>
    <mergeCell ref="G158:H158"/>
    <mergeCell ref="G159:H159"/>
    <mergeCell ref="G131:H131"/>
    <mergeCell ref="L131:N131"/>
    <mergeCell ref="L138:N138"/>
    <mergeCell ref="L139:N139"/>
    <mergeCell ref="G141:H141"/>
    <mergeCell ref="G142:H142"/>
    <mergeCell ref="G143:H143"/>
    <mergeCell ref="G144:H144"/>
    <mergeCell ref="Q133:AL137"/>
    <mergeCell ref="G140:H140"/>
    <mergeCell ref="Q170:AL174"/>
    <mergeCell ref="K143:N143"/>
    <mergeCell ref="K149:N149"/>
    <mergeCell ref="K155:N155"/>
    <mergeCell ref="K161:N161"/>
    <mergeCell ref="Q164:AL168"/>
    <mergeCell ref="K173:N173"/>
    <mergeCell ref="L144:N144"/>
    <mergeCell ref="Q140:AL144"/>
    <mergeCell ref="L160:N160"/>
    <mergeCell ref="Q158:AL162"/>
    <mergeCell ref="L145:N145"/>
    <mergeCell ref="Q146:AL150"/>
    <mergeCell ref="Q152:AL156"/>
    <mergeCell ref="P152:P156"/>
    <mergeCell ref="P158:P162"/>
    <mergeCell ref="L154:N154"/>
    <mergeCell ref="L151:N151"/>
    <mergeCell ref="L148:N148"/>
    <mergeCell ref="L150:N150"/>
    <mergeCell ref="L163:N163"/>
    <mergeCell ref="L156:N156"/>
    <mergeCell ref="L157:N157"/>
    <mergeCell ref="L142:N142"/>
    <mergeCell ref="P121:P125"/>
    <mergeCell ref="T98:AL98"/>
    <mergeCell ref="G133:H133"/>
    <mergeCell ref="G134:H134"/>
    <mergeCell ref="G135:H135"/>
    <mergeCell ref="L135:N135"/>
    <mergeCell ref="G118:H118"/>
    <mergeCell ref="G119:H119"/>
    <mergeCell ref="AE75:AF75"/>
    <mergeCell ref="AE76:AF76"/>
    <mergeCell ref="AE77:AF77"/>
    <mergeCell ref="AE78:AF78"/>
    <mergeCell ref="AB89:AI94"/>
    <mergeCell ref="G77:H77"/>
    <mergeCell ref="G79:H79"/>
    <mergeCell ref="S79:T79"/>
    <mergeCell ref="Q103:AL107"/>
    <mergeCell ref="Q109:AL113"/>
    <mergeCell ref="Q115:AL119"/>
    <mergeCell ref="S78:T78"/>
    <mergeCell ref="P103:P107"/>
    <mergeCell ref="P109:P113"/>
    <mergeCell ref="P115:P119"/>
    <mergeCell ref="G130:H130"/>
    <mergeCell ref="O68:Y68"/>
    <mergeCell ref="B64:S64"/>
    <mergeCell ref="B59:AL59"/>
    <mergeCell ref="B60:AL60"/>
    <mergeCell ref="B70:AL70"/>
    <mergeCell ref="B71:AL71"/>
    <mergeCell ref="G75:H75"/>
    <mergeCell ref="O67:Y67"/>
    <mergeCell ref="M67:M68"/>
    <mergeCell ref="B68:L68"/>
    <mergeCell ref="B67:L67"/>
    <mergeCell ref="AB68:AL68"/>
    <mergeCell ref="CI51:CR51"/>
    <mergeCell ref="CI48:CR48"/>
    <mergeCell ref="CI47:CR47"/>
    <mergeCell ref="DG47:DP47"/>
    <mergeCell ref="CU48:DD48"/>
    <mergeCell ref="CU52:DD52"/>
    <mergeCell ref="DG52:DP52"/>
    <mergeCell ref="AB67:AL67"/>
    <mergeCell ref="CI53:CR53"/>
    <mergeCell ref="CI52:CR52"/>
    <mergeCell ref="DG53:DP53"/>
    <mergeCell ref="DG48:DP48"/>
    <mergeCell ref="DG51:DP51"/>
    <mergeCell ref="CU51:DD51"/>
    <mergeCell ref="DG49:DP49"/>
    <mergeCell ref="B57:AL57"/>
    <mergeCell ref="U54:AL54"/>
    <mergeCell ref="U55:AL55"/>
    <mergeCell ref="B53:AL53"/>
    <mergeCell ref="T64:AL64"/>
    <mergeCell ref="B65:AL65"/>
    <mergeCell ref="B54:S54"/>
    <mergeCell ref="B55:S55"/>
    <mergeCell ref="B62:AL62"/>
    <mergeCell ref="G8:K8"/>
    <mergeCell ref="L8:O8"/>
    <mergeCell ref="D19:G23"/>
    <mergeCell ref="DD40:DM40"/>
    <mergeCell ref="DD41:DM41"/>
    <mergeCell ref="CR41:DA41"/>
    <mergeCell ref="DD45:DM45"/>
    <mergeCell ref="CF46:CO46"/>
    <mergeCell ref="CR46:DA46"/>
    <mergeCell ref="DD46:DM46"/>
    <mergeCell ref="CF45:CO45"/>
    <mergeCell ref="Q10:U10"/>
    <mergeCell ref="V10:X10"/>
    <mergeCell ref="H9:K9"/>
    <mergeCell ref="L9:O9"/>
    <mergeCell ref="C9:D9"/>
    <mergeCell ref="C8:F8"/>
    <mergeCell ref="AK7:AL7"/>
    <mergeCell ref="AK8:AL8"/>
    <mergeCell ref="AK9:AL9"/>
    <mergeCell ref="Y10:AA10"/>
    <mergeCell ref="AC2:AI3"/>
    <mergeCell ref="A40:AM40"/>
    <mergeCell ref="O34:Y38"/>
    <mergeCell ref="R5:Z5"/>
    <mergeCell ref="AB12:AI17"/>
    <mergeCell ref="AB19:AE23"/>
    <mergeCell ref="P12:W17"/>
    <mergeCell ref="AG19:AI23"/>
    <mergeCell ref="P19:S23"/>
    <mergeCell ref="U19:W23"/>
    <mergeCell ref="D12:K17"/>
    <mergeCell ref="B34:M38"/>
    <mergeCell ref="C3:O3"/>
    <mergeCell ref="C4:O4"/>
    <mergeCell ref="C5:O5"/>
    <mergeCell ref="R4:Z4"/>
    <mergeCell ref="L6:O6"/>
    <mergeCell ref="C7:D7"/>
    <mergeCell ref="E7:G7"/>
    <mergeCell ref="H7:K7"/>
    <mergeCell ref="L7:O7"/>
    <mergeCell ref="R6:Z6"/>
    <mergeCell ref="C6:D6"/>
    <mergeCell ref="CF40:CO40"/>
    <mergeCell ref="E6:G6"/>
    <mergeCell ref="H6:K6"/>
    <mergeCell ref="CF41:CO41"/>
    <mergeCell ref="B52:AL52"/>
    <mergeCell ref="B51:AL51"/>
    <mergeCell ref="B50:AL50"/>
    <mergeCell ref="B49:AL49"/>
    <mergeCell ref="B41:AL41"/>
    <mergeCell ref="B42:AL42"/>
    <mergeCell ref="B44:AL44"/>
    <mergeCell ref="I19:K23"/>
    <mergeCell ref="R7:Z7"/>
    <mergeCell ref="AA34:AL38"/>
    <mergeCell ref="B46:AL46"/>
    <mergeCell ref="B43:AL43"/>
    <mergeCell ref="B47:AL47"/>
    <mergeCell ref="B48:AL48"/>
    <mergeCell ref="B45:AL45"/>
    <mergeCell ref="CI49:CR49"/>
    <mergeCell ref="E9:G9"/>
    <mergeCell ref="A140:A174"/>
    <mergeCell ref="G107:H107"/>
    <mergeCell ref="L107:N107"/>
    <mergeCell ref="B72:AL73"/>
    <mergeCell ref="G78:H78"/>
    <mergeCell ref="B99:AL99"/>
    <mergeCell ref="B98:S98"/>
    <mergeCell ref="E96:J96"/>
    <mergeCell ref="Q96:V96"/>
    <mergeCell ref="AC96:AH96"/>
    <mergeCell ref="AE79:AF79"/>
    <mergeCell ref="S75:T75"/>
    <mergeCell ref="S76:T76"/>
    <mergeCell ref="S77:T77"/>
    <mergeCell ref="G76:H76"/>
    <mergeCell ref="D89:K94"/>
    <mergeCell ref="P89:W94"/>
    <mergeCell ref="P164:P168"/>
    <mergeCell ref="P133:P137"/>
    <mergeCell ref="P140:P144"/>
    <mergeCell ref="P146:P150"/>
    <mergeCell ref="K106:N106"/>
    <mergeCell ref="K112:N112"/>
    <mergeCell ref="K124:N124"/>
    <mergeCell ref="B140:C174"/>
    <mergeCell ref="G105:H105"/>
    <mergeCell ref="G106:H106"/>
    <mergeCell ref="L113:N113"/>
    <mergeCell ref="G109:H109"/>
    <mergeCell ref="L111:N111"/>
    <mergeCell ref="L105:N105"/>
    <mergeCell ref="P170:P174"/>
    <mergeCell ref="P127:P131"/>
    <mergeCell ref="K136:N136"/>
    <mergeCell ref="G123:H123"/>
    <mergeCell ref="L123:N123"/>
    <mergeCell ref="G111:H111"/>
    <mergeCell ref="L117:N117"/>
    <mergeCell ref="G121:H121"/>
    <mergeCell ref="G122:H122"/>
    <mergeCell ref="G124:H124"/>
    <mergeCell ref="G127:H127"/>
    <mergeCell ref="G128:H128"/>
    <mergeCell ref="G129:H129"/>
    <mergeCell ref="L129:N129"/>
    <mergeCell ref="K130:N130"/>
    <mergeCell ref="L125:N125"/>
    <mergeCell ref="G125:H125"/>
  </mergeCells>
  <phoneticPr fontId="0" type="noConversion"/>
  <conditionalFormatting sqref="I76 U76 AG76 AG5">
    <cfRule type="cellIs" dxfId="84" priority="1" stopIfTrue="1" operator="equal">
      <formula>2</formula>
    </cfRule>
  </conditionalFormatting>
  <conditionalFormatting sqref="I77 U77 AG77 AG6">
    <cfRule type="cellIs" dxfId="83" priority="2" stopIfTrue="1" operator="equal">
      <formula>7</formula>
    </cfRule>
  </conditionalFormatting>
  <conditionalFormatting sqref="I78 U78 AG78 AG7">
    <cfRule type="cellIs" dxfId="82" priority="3" stopIfTrue="1" operator="equal">
      <formula>6</formula>
    </cfRule>
  </conditionalFormatting>
  <conditionalFormatting sqref="AE78 S78 G78 AF7">
    <cfRule type="cellIs" dxfId="81" priority="4" stopIfTrue="1" operator="equal">
      <formula>1</formula>
    </cfRule>
  </conditionalFormatting>
  <conditionalFormatting sqref="AE76 S76 G76 AF5">
    <cfRule type="cellIs" dxfId="80" priority="5" stopIfTrue="1" operator="equal">
      <formula>9</formula>
    </cfRule>
  </conditionalFormatting>
  <conditionalFormatting sqref="AD76 R76 F76 AE5">
    <cfRule type="cellIs" dxfId="79" priority="6" stopIfTrue="1" operator="equal">
      <formula>4</formula>
    </cfRule>
  </conditionalFormatting>
  <conditionalFormatting sqref="AD77 R77 F77 AE6">
    <cfRule type="cellIs" dxfId="78" priority="7" stopIfTrue="1" operator="equal">
      <formula>3</formula>
    </cfRule>
  </conditionalFormatting>
  <conditionalFormatting sqref="AD78 R78 F78 AE7">
    <cfRule type="cellIs" dxfId="77" priority="8" stopIfTrue="1" operator="equal">
      <formula>8</formula>
    </cfRule>
  </conditionalFormatting>
  <conditionalFormatting sqref="AC82:AD82 AG82:AH82 AG84:AH84 AG86:AH86 AC84:AD84 AC86:AD86 AD27:AE27 AH27:AI27 AH29:AI29 AH31:AI31 AD29:AE29 AD31:AE31">
    <cfRule type="expression" dxfId="76" priority="9" stopIfTrue="1">
      <formula>IF($AG$19&lt;&gt;5,TRUE,FALSE)</formula>
    </cfRule>
    <cfRule type="expression" dxfId="75" priority="10" stopIfTrue="1">
      <formula>IF($AG$19=5,TRUE,FALSE)</formula>
    </cfRule>
  </conditionalFormatting>
  <conditionalFormatting sqref="AE82:AF82 AF27:AG27">
    <cfRule type="expression" dxfId="74" priority="11" stopIfTrue="1">
      <formula>IF(AND($AG$19&lt;&gt;4,$AG$19&lt;&gt;6,$AG$19&lt;&gt;8,$AG$19&lt;&gt;9,$AG$19&lt;&gt;5),TRUE,FALSE)</formula>
    </cfRule>
    <cfRule type="expression" dxfId="73" priority="12" stopIfTrue="1">
      <formula>IF($AG$19=5,TRUE,FALSE)</formula>
    </cfRule>
  </conditionalFormatting>
  <conditionalFormatting sqref="AE84:AF84 AF29:AG29">
    <cfRule type="expression" dxfId="72" priority="13" stopIfTrue="1">
      <formula>IF(AND($AG$19&lt;&gt;1,$AG$19&lt;&gt;4,$AG$19&lt;&gt;6,$AG$19&lt;&gt;7,$AG$19&lt;&gt;5),TRUE,FALSE)</formula>
    </cfRule>
    <cfRule type="expression" dxfId="71" priority="14" stopIfTrue="1">
      <formula>IF($AG$19=5,TRUE,FALSE)</formula>
    </cfRule>
  </conditionalFormatting>
  <conditionalFormatting sqref="AE86:AF86 AF31:AG31">
    <cfRule type="expression" dxfId="70" priority="15" stopIfTrue="1">
      <formula>IF(AND($AG$19&lt;&gt;3,$AG$19&lt;&gt;6,$AG$19&lt;&gt;7,$AG$19&lt;&gt;9,$AG$19&lt;&gt;5),TRUE,FALSE)</formula>
    </cfRule>
    <cfRule type="expression" dxfId="69" priority="16" stopIfTrue="1">
      <formula>IF($AG$19=5,TRUE,FALSE)</formula>
    </cfRule>
  </conditionalFormatting>
  <conditionalFormatting sqref="Q82:R82 Q84:R84 Q86:R86 U82:V82 U84:V84 U86:V86 Q27:R27 Q29:R29 Q31:R31 U27:V27 U29:V29 U31:V31">
    <cfRule type="expression" dxfId="68" priority="17" stopIfTrue="1">
      <formula>IF($U$19&lt;&gt;5,TRUE,FALSE)</formula>
    </cfRule>
    <cfRule type="expression" dxfId="67" priority="18" stopIfTrue="1">
      <formula>IF($U$19=5,TRUE,FALSE)</formula>
    </cfRule>
  </conditionalFormatting>
  <conditionalFormatting sqref="S82:T82 S27:T27">
    <cfRule type="expression" dxfId="66" priority="19" stopIfTrue="1">
      <formula>IF(AND($U$19&lt;&gt;4,$U$19&lt;&gt;6,$U$19&lt;&gt;8,$U$19&lt;&gt;9,$U$19&lt;&gt;5),TRUE,FALSE)</formula>
    </cfRule>
    <cfRule type="expression" dxfId="65" priority="20" stopIfTrue="1">
      <formula>IF($U$19=5,TRUE,FALSE)</formula>
    </cfRule>
  </conditionalFormatting>
  <conditionalFormatting sqref="S84:T84 S29:T29">
    <cfRule type="expression" dxfId="64" priority="21" stopIfTrue="1">
      <formula>IF(AND($U$19&lt;&gt;1,$U$19&lt;&gt;4,$U$19&lt;&gt;6,$U$19&lt;&gt;7,$U$19&lt;&gt;5),TRUE,FALSE)</formula>
    </cfRule>
    <cfRule type="expression" dxfId="63" priority="22" stopIfTrue="1">
      <formula>IF($U$19=5,TRUE,FALSE)</formula>
    </cfRule>
  </conditionalFormatting>
  <conditionalFormatting sqref="S86:T86 S31:T31">
    <cfRule type="expression" dxfId="62" priority="23" stopIfTrue="1">
      <formula>IF(AND($U$19&lt;&gt;3,$U$19&lt;&gt;6,$U$19&lt;&gt;7,$U$19&lt;&gt;9,$U$19&lt;&gt;5),TRUE,FALSE)</formula>
    </cfRule>
    <cfRule type="expression" dxfId="61" priority="24" stopIfTrue="1">
      <formula>IF($U$19=5,TRUE,FALSE)</formula>
    </cfRule>
  </conditionalFormatting>
  <conditionalFormatting sqref="E82:F82 I82:J82 E84:F84 I84:J84 E86:F86 I86:J86 E27:F27 I27:J27 E29:F29 I29:J29 E31:F31 I31:J31">
    <cfRule type="expression" dxfId="60" priority="25" stopIfTrue="1">
      <formula>IF($I$19&lt;&gt;5,TRUE,FALSE)</formula>
    </cfRule>
    <cfRule type="expression" dxfId="59" priority="26" stopIfTrue="1">
      <formula>IF($I$19=5,TRUE,FALSE)</formula>
    </cfRule>
  </conditionalFormatting>
  <conditionalFormatting sqref="G82:H82 G27:H27">
    <cfRule type="expression" dxfId="58" priority="27" stopIfTrue="1">
      <formula>IF(AND($I$19&lt;&gt;4,$I$19&lt;&gt;6,$I$19&lt;&gt;8,$I$19&lt;&gt;9,$I$19&lt;&gt;5),TRUE,FALSE)</formula>
    </cfRule>
    <cfRule type="expression" dxfId="57" priority="28" stopIfTrue="1">
      <formula>IF($I$19=5,TRUE,FALSE)</formula>
    </cfRule>
  </conditionalFormatting>
  <conditionalFormatting sqref="G84:H84 G29:H29">
    <cfRule type="expression" dxfId="56" priority="29" stopIfTrue="1">
      <formula>IF(AND($I$19&lt;&gt;1,$I$19&lt;&gt;4,$I$19&lt;&gt;6,$I$19&lt;&gt;7,$I$19&lt;&gt;5),TRUE,FALSE)</formula>
    </cfRule>
    <cfRule type="expression" dxfId="55" priority="30" stopIfTrue="1">
      <formula>IF($I$19=5,TRUE,FALSE)</formula>
    </cfRule>
  </conditionalFormatting>
  <conditionalFormatting sqref="G86:H86 G31:H31">
    <cfRule type="expression" dxfId="54" priority="31" stopIfTrue="1">
      <formula>IF(AND($I$19&lt;&gt;3,$I$19&lt;&gt;6,$I$19&lt;&gt;7,$I$19&lt;&gt;9,$I$19&lt;&gt;5),TRUE,FALSE)</formula>
    </cfRule>
    <cfRule type="expression" dxfId="53" priority="32" stopIfTrue="1">
      <formula>IF($I$19=5,TRUE,FALSE)</formula>
    </cfRule>
  </conditionalFormatting>
  <conditionalFormatting sqref="U55 B55 CU51:DD52 CR46:DA46 CR41:DA41 CU48:DD48">
    <cfRule type="cellIs" dxfId="52" priority="33" stopIfTrue="1" operator="equal">
      <formula>"NO EXISTE INCOMPATIBILIDAD CON EL ASCENDENTE"</formula>
    </cfRule>
    <cfRule type="cellIs" dxfId="51" priority="34" stopIfTrue="1" operator="notEqual">
      <formula>"NO EXISTE INCOMPATIBILIDAD CON EL ASCENDENTE"</formula>
    </cfRule>
  </conditionalFormatting>
  <conditionalFormatting sqref="G106:H106 G112:H112 G118:H118 G124:H124 G130:H130 G136:H136 G143:H143 G149:H149 G155:H155 G161:H161 G167:H167 G173:H173">
    <cfRule type="expression" dxfId="50" priority="35" stopIfTrue="1">
      <formula>IF(OR(G106=1,G105=$I$19),TRUE,FALSE)</formula>
    </cfRule>
    <cfRule type="expression" dxfId="49" priority="36" stopIfTrue="1">
      <formula>IF(OR(G106=5,G106=$I$19),TRUE,FALSE)</formula>
    </cfRule>
    <cfRule type="expression" dxfId="48" priority="37" stopIfTrue="1">
      <formula>IF(OR(G104=5,G104=$I$19),TRUE,FALSE)</formula>
    </cfRule>
  </conditionalFormatting>
  <conditionalFormatting sqref="F106 F112 F118 F124 F130 F136 F143 F149 F155 F161 F167 F173">
    <cfRule type="expression" dxfId="47" priority="38" stopIfTrue="1">
      <formula>IF(OR(F106=8,G105=$I$19),TRUE,FALSE)</formula>
    </cfRule>
    <cfRule type="expression" dxfId="46" priority="39" stopIfTrue="1">
      <formula>IF(OR(F106=5,F106=$I$19),TRUE,FALSE)</formula>
    </cfRule>
    <cfRule type="expression" dxfId="45" priority="40" stopIfTrue="1">
      <formula>IF(OR(I104=5,I104=$I$19),TRUE,FALSE)</formula>
    </cfRule>
  </conditionalFormatting>
  <conditionalFormatting sqref="F105 F111 F117 F123 F129 F135 F142 F148 F154 F160 F166 F172">
    <cfRule type="expression" dxfId="44" priority="41" stopIfTrue="1">
      <formula>IF(OR(F105=3,G105=$I$19),TRUE,FALSE)</formula>
    </cfRule>
    <cfRule type="expression" dxfId="43" priority="42" stopIfTrue="1">
      <formula>IF(OR(F105=5,F105=$I$19),TRUE,FALSE)</formula>
    </cfRule>
    <cfRule type="expression" dxfId="42" priority="43" stopIfTrue="1">
      <formula>IF(OR(I105=5,I105=$I$19),TRUE,FALSE)</formula>
    </cfRule>
  </conditionalFormatting>
  <conditionalFormatting sqref="F104 F110 F116 F122 F128 F134 F141 F147 F153 F159 F165 F171">
    <cfRule type="expression" dxfId="41" priority="44" stopIfTrue="1">
      <formula>IF(OR(F104=4,G105=$I$19),TRUE,FALSE)</formula>
    </cfRule>
    <cfRule type="expression" dxfId="40" priority="45" stopIfTrue="1">
      <formula>IF(OR(F104=5,F104=$I$19),TRUE,FALSE)</formula>
    </cfRule>
    <cfRule type="expression" dxfId="39" priority="46" stopIfTrue="1">
      <formula>IF(OR(I106=5,I106=$I$19),TRUE,FALSE)</formula>
    </cfRule>
  </conditionalFormatting>
  <conditionalFormatting sqref="G104:H104 G110:H110 G116:H116 G122:H122 G128:H128 G134:H134 G141:H141 G147:H147 G153:H153 G159:H159 G165:H165 G171:H171">
    <cfRule type="expression" dxfId="38" priority="47" stopIfTrue="1">
      <formula>IF(OR(G104=9,G105=$I$19),TRUE,FALSE)</formula>
    </cfRule>
    <cfRule type="expression" dxfId="37" priority="48" stopIfTrue="1">
      <formula>IF(OR(G104=5,G104=$I$19),TRUE,FALSE)</formula>
    </cfRule>
    <cfRule type="expression" dxfId="36" priority="49" stopIfTrue="1">
      <formula>IF(OR(G106=5,G106=$I$19),TRUE,FALSE)</formula>
    </cfRule>
  </conditionalFormatting>
  <conditionalFormatting sqref="I104 I110 I116 I122 I128 I134 I141 I147 I153 I159 I165 I171">
    <cfRule type="expression" dxfId="35" priority="50" stopIfTrue="1">
      <formula>IF(OR(I104=2,G105=$I$19),TRUE,FALSE)</formula>
    </cfRule>
    <cfRule type="expression" dxfId="34" priority="51" stopIfTrue="1">
      <formula>IF(OR(I104=5,I104=$I$19),TRUE,FALSE)</formula>
    </cfRule>
    <cfRule type="expression" dxfId="33" priority="52" stopIfTrue="1">
      <formula>IF(OR(F106=5,F106=$I$19),TRUE,FALSE)</formula>
    </cfRule>
  </conditionalFormatting>
  <conditionalFormatting sqref="I105 I111 I117 I123 I129 I135 I142 I148 I154 I160 I166 I172">
    <cfRule type="expression" dxfId="32" priority="53" stopIfTrue="1">
      <formula>IF(OR(I105=7,G105=$I$19),TRUE,FALSE)</formula>
    </cfRule>
    <cfRule type="expression" dxfId="31" priority="54" stopIfTrue="1">
      <formula>IF(OR(I105=5,I105=$I$19),TRUE,FALSE)</formula>
    </cfRule>
    <cfRule type="expression" dxfId="30" priority="55" stopIfTrue="1">
      <formula>IF(OR(F105=5,F105=$I$19),TRUE,FALSE)</formula>
    </cfRule>
  </conditionalFormatting>
  <conditionalFormatting sqref="I106 I112 I118 I124 I130 I136 I143 I149 I155 I161 I167 I173">
    <cfRule type="expression" dxfId="29" priority="56" stopIfTrue="1">
      <formula>IF(OR(I106=6,G105=$I$19),TRUE,FALSE)</formula>
    </cfRule>
    <cfRule type="expression" dxfId="28" priority="57" stopIfTrue="1">
      <formula>IF(OR(I106=5,I106=$I$19),TRUE,FALSE)</formula>
    </cfRule>
    <cfRule type="expression" dxfId="27" priority="58" stopIfTrue="1">
      <formula>IF(OR(F104=5,F104=$I$19),TRUE,FALSE)</formula>
    </cfRule>
  </conditionalFormatting>
  <printOptions horizontalCentered="1" verticalCentered="1"/>
  <pageMargins left="0.27559055118110237" right="0.19685039370078741" top="0.94488188976377963" bottom="0.23622047244094491" header="0.31496062992125984" footer="0"/>
  <pageSetup paperSize="119" scale="45" fitToHeight="2" orientation="landscape" r:id="rId1"/>
  <headerFooter alignWithMargins="0">
    <oddHeader>&amp;C&amp;"Arial,Negrita Cursiva"&amp;20EL KI DE LAS NUEVE ESTRELLAS DEFINE TU NATURALEZA Y ESENCIA, TU CARACTER Y CUAL ES TU MISIÓN EN LA VIDA, INDICÁNDOTE HACIA DONDE Y COMO DEBES ENFOCARLA.</oddHeader>
  </headerFooter>
  <rowBreaks count="7" manualBreakCount="7">
    <brk id="44" max="38" man="1"/>
    <brk id="48" max="38" man="1"/>
    <brk id="56" max="38" man="1"/>
    <brk id="69" max="38" man="1"/>
    <brk id="100" max="38" man="1"/>
    <brk id="138" max="38" man="1"/>
    <brk id="176" max="3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11"/>
  <sheetViews>
    <sheetView topLeftCell="B1" workbookViewId="0">
      <selection activeCell="A7" sqref="A7"/>
    </sheetView>
  </sheetViews>
  <sheetFormatPr baseColWidth="10" defaultRowHeight="12.75"/>
  <cols>
    <col min="1" max="1" width="6" customWidth="1"/>
    <col min="2" max="33" width="4.7109375" customWidth="1"/>
  </cols>
  <sheetData>
    <row r="1" spans="2:36" ht="327" customHeight="1" thickBot="1">
      <c r="B1" s="565" t="str">
        <f>IF(AI1="NADA",AJ1,AI1)</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C1" s="366"/>
      <c r="D1" s="366"/>
      <c r="E1" s="366"/>
      <c r="F1" s="366"/>
      <c r="G1" s="366"/>
      <c r="H1" s="366"/>
      <c r="I1" s="366"/>
      <c r="J1" s="366"/>
      <c r="K1" s="367"/>
      <c r="M1" s="365" t="str">
        <f>IF(AI2="NADA",AJ2,AI2)</f>
        <v>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v>
      </c>
      <c r="N1" s="366"/>
      <c r="O1" s="366"/>
      <c r="P1" s="366"/>
      <c r="Q1" s="366"/>
      <c r="R1" s="366"/>
      <c r="S1" s="366"/>
      <c r="T1" s="366"/>
      <c r="U1" s="366"/>
      <c r="V1" s="367"/>
      <c r="X1" s="365" t="str">
        <f>IF(AI3="NADA",AJ3,AI3)</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Y1" s="366"/>
      <c r="Z1" s="366"/>
      <c r="AA1" s="366"/>
      <c r="AB1" s="366"/>
      <c r="AC1" s="366"/>
      <c r="AD1" s="366"/>
      <c r="AE1" s="366"/>
      <c r="AF1" s="366"/>
      <c r="AG1" s="367"/>
      <c r="AH1" t="str">
        <f>LOOKUP(Ki!C8,Horóscopo!K4:L123,Horóscopo!A4:A123)</f>
        <v>Jabalí</v>
      </c>
      <c r="AI1" t="str">
        <f>IF(AH1=Signos!A1,Signos!A3,IF(AH1=Signos!B1,Signos!B3,IF(AH1=Signos!C1,Signos!C3,IF(AH1=Signos!D1,Signos!D3,IF(AH1=Signos!E1,Signos!E3,IF(AH1=Signos!F1,Signos!F3,IF(AH1=Signos!G1,Signos!G3,IF(AH1=Signos!H1,Signos!H3,"NADA"))))))))</f>
        <v>NADA</v>
      </c>
      <c r="AJ1" s="197" t="str">
        <f>IF(AI1="NADA",IF(AH1=Signos!I1,Signos!I3,IF(AH1=Signos!J1,Signos!J3,IF(AH1=Signos!K1,Signos!K3,Signos!L3))),"NADA")</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row>
    <row r="2" spans="2:36" ht="18.75" customHeight="1" thickBot="1">
      <c r="B2" s="559" t="str">
        <f>IF(AI4="NADA",AJ4,AI4)</f>
        <v>Personajes Jabalí</v>
      </c>
      <c r="C2" s="560"/>
      <c r="D2" s="560"/>
      <c r="E2" s="560"/>
      <c r="F2" s="560"/>
      <c r="G2" s="560"/>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1"/>
      <c r="AH2" t="str">
        <f>LOOKUP(Ki!C8,Horóscopo!K4:L123,Horóscopo!A4:A123)</f>
        <v>Jabalí</v>
      </c>
      <c r="AI2" t="str">
        <f>IF(AH1=Signos!A1,Signos!A5,IF(AH1=Signos!B1,Signos!B5,IF(AH1=Signos!C1,Signos!C5,IF(AH1=Signos!D1,Signos!D5,IF(AH1=Signos!E1,Signos!E5,IF(AH1=Signos!F1,Signos!F5,IF(AH1=Signos!G1,Signos!G5,IF(AH1=Signos!H1,Signos!H5,"NADA"))))))))</f>
        <v>NADA</v>
      </c>
      <c r="AJ2" t="str">
        <f>IF(AI1="NADA",IF(AH1=Signos!I1,Signos!I5,IF(AH1=Signos!J1,Signos!J5,IF(AH1=Signos!K1,Signos!K3,Signos!L5))),"NADA")</f>
        <v>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v>
      </c>
    </row>
    <row r="3" spans="2:36" ht="67.5" customHeight="1" thickBot="1">
      <c r="B3" s="562" t="str">
        <f>IF(AI5="NADA",AJ5,AI5)</f>
        <v>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4"/>
      <c r="AH3" t="str">
        <f>LOOKUP(Ki!C8,Horóscopo!K4:L123,Horóscopo!A4:A123)</f>
        <v>Jabalí</v>
      </c>
      <c r="AI3" t="str">
        <f>IF(AH1=Signos!A1,Signos!A7,IF(AH1=Signos!B1,Signos!B7,IF(AH1=Signos!C1,Signos!C7,IF(AH1=Signos!D1,Signos!D7,IF(AH1=Signos!E1,Signos!E7,IF(AH1=Signos!F1,Signos!F7,IF(AH1=Signos!G1,Signos!G7,IF(AH1=Signos!H1,Signos!H7,"NADA"))))))))</f>
        <v>NADA</v>
      </c>
      <c r="AJ3" t="str">
        <f>IF(AI1="NADA",IF(AH1=Signos!I1,Signos!I7,IF(AH1=Signos!J1,Signos!J7,IF(AH1=Signos!K1,Signos!K7,Signos!L3))),"NADA")</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row>
    <row r="4" spans="2:36" ht="13.5" thickBot="1">
      <c r="AH4" t="str">
        <f>LOOKUP(Ki!C8,Horóscopo!K4:L123,Horóscopo!A4:A123)</f>
        <v>Jabalí</v>
      </c>
      <c r="AI4" t="str">
        <f>IF(AH1=Signos!A1,Signos!A9,IF(AH1=Signos!B1,Signos!B9,IF(AH1=Signos!C1,Signos!C9,IF(AH1=Signos!D1,Signos!D9,IF(AH1=Signos!E1,Signos!E9,IF(AH1=Signos!F1,Signos!F9,IF(AH1=Signos!G1,Signos!G9,IF(AH1=Signos!H1,Signos!H9,"NADA"))))))))</f>
        <v>NADA</v>
      </c>
      <c r="AJ4" t="str">
        <f>IF(AI1="NADA",IF(AH1=Signos!I1,Signos!I9,IF(AH1=Signos!J1,Signos!J9,IF(AH1=Signos!K1,Signos!K3,Signos!L9))),"NADA")</f>
        <v>Personajes Jabalí</v>
      </c>
    </row>
    <row r="5" spans="2:36" ht="327" customHeight="1" thickBot="1">
      <c r="B5" s="365" t="str">
        <f>IF(LOOKUP(Ki!C8,Horóscopo!K4:L123,Horóscopo!A4:A123)=Signos!H1,Signos!H3,IF(LOOKUP(Ki!C8,Horóscopo!K4:L123,Horóscopo!A4:A123)=Signos!I1,Signos!I3,IF(LOOKUP(Ki!C8,Horóscopo!K4:L123,Horóscopo!A4:A123)=Signos!J1,Signos!J3,IF(LOOKUP(Ki!C8,Horóscopo!K4:L123,Horóscopo!A4:A123)=Signos!K1,Signos!K3,Signos!L3))))</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C5" s="366"/>
      <c r="D5" s="366"/>
      <c r="E5" s="366"/>
      <c r="F5" s="366"/>
      <c r="G5" s="366"/>
      <c r="H5" s="366"/>
      <c r="I5" s="366"/>
      <c r="J5" s="366"/>
      <c r="K5" s="367"/>
      <c r="M5" s="365" t="str">
        <f>IF(LOOKUP(Ki!C8,Horóscopo!K4:L123,Horóscopo!A4:A123)=Signos!H1,Signos!H5,IF(LOOKUP(Ki!C8,Horóscopo!K4:L123,Horóscopo!A4:A123)=Signos!I1,Signos!I5,IF(LOOKUP(Ki!C8,Horóscopo!K4:L123,Horóscopo!A4:A123)=Signos!J1,Signos!J5,IF(LOOKUP(Ki!C8,Horóscopo!K4:L123,Horóscopo!A4:A123)=Signos!K1,Signos!K5,Signos!L5))))</f>
        <v>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v>
      </c>
      <c r="N5" s="366"/>
      <c r="O5" s="366"/>
      <c r="P5" s="366"/>
      <c r="Q5" s="366"/>
      <c r="R5" s="366"/>
      <c r="S5" s="366"/>
      <c r="T5" s="366"/>
      <c r="U5" s="366"/>
      <c r="V5" s="367"/>
      <c r="X5" s="365" t="str">
        <f>IF(LOOKUP(Ki!C8,Horóscopo!K4:L123,Horóscopo!A4:A123)=Signos!H1,Signos!H7,IF(LOOKUP(Ki!C8,Horóscopo!K4:L123,Horóscopo!A4:A123)=Signos!I1,Signos!I7,IF(LOOKUP(Ki!C8,Horóscopo!K4:L123,Horóscopo!A4:A123)=Signos!J1,Signos!J7,IF(LOOKUP(Ki!C8,Horóscopo!K4:L123,Horóscopo!A4:A123)=Signos!K1,Signos!K7,Signos!L7))))</f>
        <v xml:space="preserve"> Estos dos animales representarían la destrucción por agotamiento de los cerdos. Sus mejores carreras y oficios: de todo tipo de manufacturas, medicina, arquitectura, literatura, pintura, cualquier negocio, relaciones públicas, artista de variedades, payasos, comediantes. </v>
      </c>
      <c r="Y5" s="366"/>
      <c r="Z5" s="366"/>
      <c r="AA5" s="366"/>
      <c r="AB5" s="366"/>
      <c r="AC5" s="366"/>
      <c r="AD5" s="366"/>
      <c r="AE5" s="366"/>
      <c r="AF5" s="366"/>
      <c r="AG5" s="367"/>
      <c r="AH5" t="str">
        <f>LOOKUP(Ki!C8,Horóscopo!K4:L123,Horóscopo!A4:A123)</f>
        <v>Jabalí</v>
      </c>
      <c r="AI5" t="str">
        <f>IF(AH1=Signos!A1,Signos!A11,IF(AH1=Signos!B1,Signos!B11,IF(AH1=Signos!C1,Signos!C9,IF(AH1=Signos!D1,Signos!D11,IF(AH1=Signos!E1,Signos!E11,IF(AH1=Signos!F1,Signos!F11,IF(AH1=Signos!G1,Signos!G11,IF(AH1=Signos!H1,Signos!H11,"NADA"))))))))</f>
        <v>NADA</v>
      </c>
      <c r="AJ5" t="str">
        <f>IF(AI2="NADA",IF(AH2=Signos!I2,Signos!I11,IF(AH2=Signos!J2,Signos!J11,IF(AH2=Signos!K2,Signos!K4,Signos!L11))),"NADA")</f>
        <v>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v>
      </c>
    </row>
    <row r="6" spans="2:36" ht="18.75" customHeight="1" thickBot="1">
      <c r="B6" s="559" t="str">
        <f>IF(LOOKUP(Ki!C8,Horóscopo!K4:L123,Horóscopo!A4:A123)=Signos!A1,Signos!A9,IF(LOOKUP(Ki!C8,Horóscopo!K4:L123,Horóscopo!A4:A123)=Signos!B1,Signos!B9,IF(LOOKUP(Ki!C8,Horóscopo!K4:L123,Horóscopo!A4:A123)=Signos!C1,Signos!C9,IF(LOOKUP(Ki!C8,Horóscopo!K4:L123,Horóscopo!A4:A123)=Signos!D1,Signos!D9,IF(LOOKUP(Ki!C8,Horóscopo!K4:L123,Horóscopo!A4:A123)=Signos!E1,Signos!E9,IF(LOOKUP(Ki!C8,Horóscopo!K4:L123,Horóscopo!A4:A123)=Signos!F1,Signos!F9,IF(LOOKUP(Ki!C8,Horóscopo!K4:L123,Horóscopo!A4:A123)=Signos!G1,Signos!G9,"NO")))))))</f>
        <v>NO</v>
      </c>
      <c r="C6" s="560"/>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1"/>
    </row>
    <row r="7" spans="2:36" ht="67.5" customHeight="1" thickBot="1">
      <c r="B7" s="562" t="str">
        <f>IF(LOOKUP(Ki!C8,Horóscopo!K4:L123,Horóscopo!A4:A123)=Signos!H1,Signos!H11,IF(LOOKUP(Ki!C8,Horóscopo!K4:L123,Horóscopo!A4:A123)=Signos!I1,Signos!I11,IF(LOOKUP(Ki!C8,Horóscopo!K4:L123,Horóscopo!A4:A123)=Signos!J1,Signos!J11,IF(LOOKUP(Ki!C8,Horóscopo!K4:L123,Horóscopo!A4:A123)=Signos!K1,Signos!K11,Signos!L11))))</f>
        <v>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v>
      </c>
      <c r="C7" s="563"/>
      <c r="D7" s="563"/>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4"/>
    </row>
    <row r="8" spans="2:36" ht="13.5" thickBot="1"/>
    <row r="9" spans="2:36" ht="327" customHeight="1" thickBot="1">
      <c r="B9" s="365" t="str">
        <f>IF(B1="NO",B5,B1)</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C9" s="366"/>
      <c r="D9" s="366"/>
      <c r="E9" s="366"/>
      <c r="F9" s="366"/>
      <c r="G9" s="366"/>
      <c r="H9" s="366"/>
      <c r="I9" s="366"/>
      <c r="J9" s="366"/>
      <c r="K9" s="367"/>
      <c r="M9" s="365" t="str">
        <f>IF(M1="NO",M5,M1)</f>
        <v>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v>
      </c>
      <c r="N9" s="366"/>
      <c r="O9" s="366"/>
      <c r="P9" s="366"/>
      <c r="Q9" s="366"/>
      <c r="R9" s="366"/>
      <c r="S9" s="366"/>
      <c r="T9" s="366"/>
      <c r="U9" s="366"/>
      <c r="V9" s="367"/>
      <c r="X9" s="365" t="str">
        <f>IF(X1="NO",X5,X1)</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Y9" s="366"/>
      <c r="Z9" s="366"/>
      <c r="AA9" s="366"/>
      <c r="AB9" s="366"/>
      <c r="AC9" s="366"/>
      <c r="AD9" s="366"/>
      <c r="AE9" s="366"/>
      <c r="AF9" s="366"/>
      <c r="AG9" s="367"/>
    </row>
    <row r="10" spans="2:36" ht="18.75" customHeight="1" thickBot="1">
      <c r="B10" s="559" t="str">
        <f>IF(B2="NO",B6,B2)</f>
        <v>Personajes Jabalí</v>
      </c>
      <c r="C10" s="560"/>
      <c r="D10" s="560"/>
      <c r="E10" s="560"/>
      <c r="F10" s="560"/>
      <c r="G10" s="560"/>
      <c r="H10" s="560"/>
      <c r="I10" s="560"/>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0"/>
      <c r="AG10" s="561"/>
    </row>
    <row r="11" spans="2:36" ht="67.5" customHeight="1" thickBot="1">
      <c r="B11" s="562" t="str">
        <f>IF(B3="NO",B7,B3)</f>
        <v>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v>
      </c>
      <c r="C11" s="563"/>
      <c r="D11" s="563"/>
      <c r="E11" s="563"/>
      <c r="F11" s="563"/>
      <c r="G11" s="563"/>
      <c r="H11" s="563"/>
      <c r="I11" s="563"/>
      <c r="J11" s="563"/>
      <c r="K11" s="563"/>
      <c r="L11" s="563"/>
      <c r="M11" s="563"/>
      <c r="N11" s="563"/>
      <c r="O11" s="563"/>
      <c r="P11" s="563"/>
      <c r="Q11" s="563"/>
      <c r="R11" s="563"/>
      <c r="S11" s="563"/>
      <c r="T11" s="563"/>
      <c r="U11" s="563"/>
      <c r="V11" s="563"/>
      <c r="W11" s="563"/>
      <c r="X11" s="563"/>
      <c r="Y11" s="563"/>
      <c r="Z11" s="563"/>
      <c r="AA11" s="563"/>
      <c r="AB11" s="563"/>
      <c r="AC11" s="563"/>
      <c r="AD11" s="563"/>
      <c r="AE11" s="563"/>
      <c r="AF11" s="563"/>
      <c r="AG11" s="564"/>
    </row>
  </sheetData>
  <mergeCells count="15">
    <mergeCell ref="B5:K5"/>
    <mergeCell ref="M5:V5"/>
    <mergeCell ref="X5:AG5"/>
    <mergeCell ref="B1:K1"/>
    <mergeCell ref="M1:V1"/>
    <mergeCell ref="X1:AG1"/>
    <mergeCell ref="B2:AG2"/>
    <mergeCell ref="B3:AG3"/>
    <mergeCell ref="B10:AG10"/>
    <mergeCell ref="B11:AG11"/>
    <mergeCell ref="B6:AG6"/>
    <mergeCell ref="B7:AG7"/>
    <mergeCell ref="B9:K9"/>
    <mergeCell ref="M9:V9"/>
    <mergeCell ref="X9:AG9"/>
  </mergeCells>
  <phoneticPr fontId="11" type="noConversion"/>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workbookViewId="0">
      <selection activeCell="C165" sqref="C165"/>
    </sheetView>
  </sheetViews>
  <sheetFormatPr baseColWidth="10" defaultRowHeight="12.75"/>
  <cols>
    <col min="1" max="1" width="15.85546875" bestFit="1" customWidth="1"/>
    <col min="4" max="4" width="79.85546875" customWidth="1"/>
    <col min="5" max="5" width="13.28515625" bestFit="1" customWidth="1"/>
    <col min="6" max="6" width="12.42578125" bestFit="1" customWidth="1"/>
    <col min="7" max="7" width="13.85546875" bestFit="1" customWidth="1"/>
    <col min="8" max="8" width="14.140625" bestFit="1" customWidth="1"/>
    <col min="9" max="9" width="17.28515625" bestFit="1" customWidth="1"/>
    <col min="10" max="10" width="14.28515625" bestFit="1" customWidth="1"/>
    <col min="11" max="11" width="13.140625" bestFit="1" customWidth="1"/>
    <col min="12" max="12" width="12.7109375" bestFit="1" customWidth="1"/>
    <col min="13" max="13" width="12.42578125" bestFit="1" customWidth="1"/>
    <col min="14" max="14" width="12.5703125" bestFit="1" customWidth="1"/>
    <col min="15" max="15" width="13" bestFit="1" customWidth="1"/>
    <col min="16" max="16" width="12" bestFit="1" customWidth="1"/>
  </cols>
  <sheetData>
    <row r="1" spans="1:16" ht="13.5" thickBot="1"/>
    <row r="2" spans="1:16" ht="13.5" thickBot="1">
      <c r="A2" s="570" t="s">
        <v>256</v>
      </c>
      <c r="B2" s="571"/>
      <c r="C2" s="572" t="s">
        <v>255</v>
      </c>
      <c r="E2" s="30" t="s">
        <v>147</v>
      </c>
      <c r="F2" s="145" t="s">
        <v>253</v>
      </c>
      <c r="G2" s="27" t="s">
        <v>151</v>
      </c>
      <c r="H2" s="27" t="s">
        <v>153</v>
      </c>
      <c r="I2" s="27" t="s">
        <v>162</v>
      </c>
      <c r="J2" s="27" t="s">
        <v>155</v>
      </c>
      <c r="K2" s="27" t="s">
        <v>156</v>
      </c>
      <c r="L2" s="27" t="s">
        <v>254</v>
      </c>
      <c r="M2" s="27" t="s">
        <v>158</v>
      </c>
      <c r="N2" s="27" t="s">
        <v>160</v>
      </c>
      <c r="O2" s="27" t="s">
        <v>161</v>
      </c>
      <c r="P2" s="27" t="s">
        <v>293</v>
      </c>
    </row>
    <row r="3" spans="1:16" ht="13.5" thickBot="1">
      <c r="A3" s="146" t="s">
        <v>251</v>
      </c>
      <c r="B3" s="147" t="s">
        <v>252</v>
      </c>
      <c r="C3" s="573"/>
    </row>
    <row r="4" spans="1:16">
      <c r="A4" s="143">
        <v>4.1666666666666664E-2</v>
      </c>
      <c r="B4" s="144">
        <v>0.12498842592592592</v>
      </c>
      <c r="C4" s="145" t="s">
        <v>253</v>
      </c>
      <c r="D4" s="104">
        <v>1</v>
      </c>
      <c r="E4" s="199" t="str">
        <f t="shared" ref="E4:E16" si="0">CONCATENATE($C$4,C4)</f>
        <v>BúfaloBúfalo</v>
      </c>
      <c r="F4" s="197" t="str">
        <f>CONCATENATE($C$5,C4)</f>
        <v>TigreBúfalo</v>
      </c>
      <c r="G4" s="197" t="str">
        <f>CONCATENATE($C$6,C4)</f>
        <v>ConejoBúfalo</v>
      </c>
      <c r="H4" s="197" t="str">
        <f>CONCATENATE($C$7,C4)</f>
        <v>DragónBúfalo</v>
      </c>
      <c r="I4" s="197" t="str">
        <f>CONCATENATE($C$8,C4)</f>
        <v>SerpienteBúfalo</v>
      </c>
      <c r="J4" s="197" t="str">
        <f>CONCATENATE($C$9,C4)</f>
        <v>CaballoBúfalo</v>
      </c>
      <c r="K4" s="198" t="str">
        <f>CONCATENATE($C$10,C4)</f>
        <v>CabraBúfalo</v>
      </c>
      <c r="L4" s="197" t="str">
        <f>CONCATENATE($C$11,C4)</f>
        <v>MonoBúfalo</v>
      </c>
      <c r="M4" s="197" t="str">
        <f>CONCATENATE($C$12,C4)</f>
        <v>GalloBúfalo</v>
      </c>
      <c r="N4" s="197" t="str">
        <f>CONCATENATE($C$13,C4)</f>
        <v>PerroBúfalo</v>
      </c>
      <c r="O4" s="197" t="str">
        <f>CONCATENATE($C$14,C4)</f>
        <v>JabalíBúfalo</v>
      </c>
      <c r="P4" s="197" t="str">
        <f>CONCATENATE($C$15,C4)</f>
        <v>RataBúfalo</v>
      </c>
    </row>
    <row r="5" spans="1:16">
      <c r="A5" s="132">
        <v>0.125</v>
      </c>
      <c r="B5" s="131">
        <v>0.20832175925925925</v>
      </c>
      <c r="C5" s="27" t="s">
        <v>151</v>
      </c>
      <c r="D5" s="104">
        <v>2</v>
      </c>
      <c r="E5" s="197" t="str">
        <f t="shared" si="0"/>
        <v>BúfaloTigre</v>
      </c>
      <c r="F5" s="199" t="str">
        <f t="shared" ref="F5:F16" si="1">CONCATENATE($C$5,C5)</f>
        <v>TigreTigre</v>
      </c>
      <c r="G5" s="197" t="str">
        <f t="shared" ref="G5:G16" si="2">CONCATENATE($C$6,C5)</f>
        <v>ConejoTigre</v>
      </c>
      <c r="H5" s="197" t="str">
        <f t="shared" ref="H5:H16" si="3">CONCATENATE($C$7,C5)</f>
        <v>DragónTigre</v>
      </c>
      <c r="I5" s="197" t="str">
        <f t="shared" ref="I5:I16" si="4">CONCATENATE($C$8,C5)</f>
        <v>SerpienteTigre</v>
      </c>
      <c r="J5" s="197" t="str">
        <f t="shared" ref="J5:J14" si="5">CONCATENATE($C$9,C5)</f>
        <v>CaballoTigre</v>
      </c>
      <c r="K5" s="197" t="str">
        <f t="shared" ref="K5:K16" si="6">CONCATENATE($C$10,C5)</f>
        <v>CabraTigre</v>
      </c>
      <c r="L5" s="198" t="str">
        <f t="shared" ref="L5:L16" si="7">CONCATENATE($C$11,C5)</f>
        <v>MonoTigre</v>
      </c>
      <c r="M5" s="197" t="str">
        <f t="shared" ref="M5:M16" si="8">CONCATENATE($C$12,C5)</f>
        <v>GalloTigre</v>
      </c>
      <c r="N5" s="197" t="str">
        <f t="shared" ref="N5:N16" si="9">CONCATENATE($C$13,C5)</f>
        <v>PerroTigre</v>
      </c>
      <c r="O5" s="197" t="str">
        <f t="shared" ref="O5:O16" si="10">CONCATENATE($C$14,C5)</f>
        <v>JabalíTigre</v>
      </c>
      <c r="P5" s="197" t="str">
        <f t="shared" ref="P5:P16" si="11">CONCATENATE($C$15,C5)</f>
        <v>RataTigre</v>
      </c>
    </row>
    <row r="6" spans="1:16">
      <c r="A6" s="132">
        <v>0.20833333333333334</v>
      </c>
      <c r="B6" s="131">
        <v>0.29165509259259259</v>
      </c>
      <c r="C6" s="27" t="s">
        <v>153</v>
      </c>
      <c r="D6" s="104">
        <v>3</v>
      </c>
      <c r="E6" s="197" t="str">
        <f t="shared" si="0"/>
        <v>BúfaloConejo</v>
      </c>
      <c r="F6" s="197" t="str">
        <f t="shared" si="1"/>
        <v>TigreConejo</v>
      </c>
      <c r="G6" s="199" t="str">
        <f t="shared" si="2"/>
        <v>ConejoConejo</v>
      </c>
      <c r="H6" s="197" t="str">
        <f t="shared" si="3"/>
        <v>DragónConejo</v>
      </c>
      <c r="I6" s="197" t="str">
        <f t="shared" si="4"/>
        <v>SerpienteConejo</v>
      </c>
      <c r="J6" s="197" t="str">
        <f t="shared" si="5"/>
        <v>CaballoConejo</v>
      </c>
      <c r="K6" s="197" t="str">
        <f t="shared" si="6"/>
        <v>CabraConejo</v>
      </c>
      <c r="L6" s="197" t="str">
        <f t="shared" si="7"/>
        <v>MonoConejo</v>
      </c>
      <c r="M6" s="198" t="str">
        <f t="shared" si="8"/>
        <v>GalloConejo</v>
      </c>
      <c r="N6" s="197" t="str">
        <f t="shared" si="9"/>
        <v>PerroConejo</v>
      </c>
      <c r="O6" s="197" t="str">
        <f t="shared" si="10"/>
        <v>JabalíConejo</v>
      </c>
      <c r="P6" s="197" t="str">
        <f t="shared" si="11"/>
        <v>RataConejo</v>
      </c>
    </row>
    <row r="7" spans="1:16">
      <c r="A7" s="132">
        <v>0.29166666666666669</v>
      </c>
      <c r="B7" s="131">
        <v>0.37498842592592596</v>
      </c>
      <c r="C7" s="27" t="s">
        <v>162</v>
      </c>
      <c r="D7" s="104">
        <v>4</v>
      </c>
      <c r="E7" s="197" t="str">
        <f t="shared" si="0"/>
        <v>BúfaloDragón</v>
      </c>
      <c r="F7" s="197" t="str">
        <f t="shared" si="1"/>
        <v>TigreDragón</v>
      </c>
      <c r="G7" s="197" t="str">
        <f t="shared" si="2"/>
        <v>ConejoDragón</v>
      </c>
      <c r="H7" s="199" t="str">
        <f t="shared" si="3"/>
        <v>DragónDragón</v>
      </c>
      <c r="I7" s="197" t="str">
        <f t="shared" si="4"/>
        <v>SerpienteDragón</v>
      </c>
      <c r="J7" s="197" t="str">
        <f t="shared" si="5"/>
        <v>CaballoDragón</v>
      </c>
      <c r="K7" s="197" t="str">
        <f t="shared" si="6"/>
        <v>CabraDragón</v>
      </c>
      <c r="L7" s="197" t="str">
        <f t="shared" si="7"/>
        <v>MonoDragón</v>
      </c>
      <c r="M7" s="197" t="str">
        <f t="shared" si="8"/>
        <v>GalloDragón</v>
      </c>
      <c r="N7" s="198" t="str">
        <f t="shared" si="9"/>
        <v>PerroDragón</v>
      </c>
      <c r="O7" s="197" t="str">
        <f t="shared" si="10"/>
        <v>JabalíDragón</v>
      </c>
      <c r="P7" s="197" t="str">
        <f t="shared" si="11"/>
        <v>RataDragón</v>
      </c>
    </row>
    <row r="8" spans="1:16">
      <c r="A8" s="132">
        <v>0.375</v>
      </c>
      <c r="B8" s="131">
        <v>0.45832175925925928</v>
      </c>
      <c r="C8" s="27" t="s">
        <v>155</v>
      </c>
      <c r="D8" s="104">
        <v>5</v>
      </c>
      <c r="E8" s="197" t="str">
        <f t="shared" si="0"/>
        <v>BúfaloSerpiente</v>
      </c>
      <c r="F8" s="197" t="str">
        <f t="shared" si="1"/>
        <v>TigreSerpiente</v>
      </c>
      <c r="G8" s="197" t="str">
        <f t="shared" si="2"/>
        <v>ConejoSerpiente</v>
      </c>
      <c r="H8" s="197" t="str">
        <f t="shared" si="3"/>
        <v>DragónSerpiente</v>
      </c>
      <c r="I8" s="199" t="str">
        <f t="shared" si="4"/>
        <v>SerpienteSerpiente</v>
      </c>
      <c r="J8" s="197" t="str">
        <f t="shared" si="5"/>
        <v>CaballoSerpiente</v>
      </c>
      <c r="K8" s="197" t="str">
        <f t="shared" si="6"/>
        <v>CabraSerpiente</v>
      </c>
      <c r="L8" s="197" t="str">
        <f t="shared" si="7"/>
        <v>MonoSerpiente</v>
      </c>
      <c r="M8" s="197" t="str">
        <f t="shared" si="8"/>
        <v>GalloSerpiente</v>
      </c>
      <c r="N8" s="197" t="str">
        <f t="shared" si="9"/>
        <v>PerroSerpiente</v>
      </c>
      <c r="O8" s="198" t="str">
        <f t="shared" si="10"/>
        <v>JabalíSerpiente</v>
      </c>
      <c r="P8" s="197" t="str">
        <f t="shared" si="11"/>
        <v>RataSerpiente</v>
      </c>
    </row>
    <row r="9" spans="1:16">
      <c r="A9" s="132">
        <v>0.45833333333333331</v>
      </c>
      <c r="B9" s="131">
        <v>0.54165509259259259</v>
      </c>
      <c r="C9" s="27" t="s">
        <v>156</v>
      </c>
      <c r="D9" s="104">
        <v>6</v>
      </c>
      <c r="E9" s="197" t="str">
        <f t="shared" si="0"/>
        <v>BúfaloCaballo</v>
      </c>
      <c r="F9" s="197" t="str">
        <f t="shared" si="1"/>
        <v>TigreCaballo</v>
      </c>
      <c r="G9" s="197" t="str">
        <f t="shared" si="2"/>
        <v>ConejoCaballo</v>
      </c>
      <c r="H9" s="197" t="str">
        <f t="shared" si="3"/>
        <v>DragónCaballo</v>
      </c>
      <c r="I9" s="197" t="str">
        <f t="shared" si="4"/>
        <v>SerpienteCaballo</v>
      </c>
      <c r="J9" s="199" t="str">
        <f t="shared" si="5"/>
        <v>CaballoCaballo</v>
      </c>
      <c r="K9" s="197" t="str">
        <f t="shared" si="6"/>
        <v>CabraCaballo</v>
      </c>
      <c r="L9" s="197" t="str">
        <f t="shared" si="7"/>
        <v>MonoCaballo</v>
      </c>
      <c r="M9" s="197" t="str">
        <f t="shared" si="8"/>
        <v>GalloCaballo</v>
      </c>
      <c r="N9" s="197" t="str">
        <f t="shared" si="9"/>
        <v>PerroCaballo</v>
      </c>
      <c r="O9" s="197" t="str">
        <f t="shared" si="10"/>
        <v>JabalíCaballo</v>
      </c>
      <c r="P9" s="198" t="str">
        <f t="shared" si="11"/>
        <v>RataCaballo</v>
      </c>
    </row>
    <row r="10" spans="1:16">
      <c r="A10" s="132">
        <v>0.54166666666666663</v>
      </c>
      <c r="B10" s="131">
        <v>0.62498842592592596</v>
      </c>
      <c r="C10" s="27" t="s">
        <v>254</v>
      </c>
      <c r="D10" s="104">
        <v>7</v>
      </c>
      <c r="E10" s="198" t="str">
        <f t="shared" si="0"/>
        <v>BúfaloCabra</v>
      </c>
      <c r="F10" s="197" t="str">
        <f t="shared" si="1"/>
        <v>TigreCabra</v>
      </c>
      <c r="G10" s="197" t="str">
        <f t="shared" si="2"/>
        <v>ConejoCabra</v>
      </c>
      <c r="H10" s="197" t="str">
        <f t="shared" si="3"/>
        <v>DragónCabra</v>
      </c>
      <c r="I10" s="197" t="str">
        <f t="shared" si="4"/>
        <v>SerpienteCabra</v>
      </c>
      <c r="J10" s="197" t="str">
        <f t="shared" si="5"/>
        <v>CaballoCabra</v>
      </c>
      <c r="K10" s="199" t="str">
        <f t="shared" si="6"/>
        <v>CabraCabra</v>
      </c>
      <c r="L10" s="197" t="str">
        <f t="shared" si="7"/>
        <v>MonoCabra</v>
      </c>
      <c r="M10" s="197" t="str">
        <f t="shared" si="8"/>
        <v>GalloCabra</v>
      </c>
      <c r="N10" s="197" t="str">
        <f t="shared" si="9"/>
        <v>PerroCabra</v>
      </c>
      <c r="O10" s="197" t="str">
        <f t="shared" si="10"/>
        <v>JabalíCabra</v>
      </c>
      <c r="P10" s="197" t="str">
        <f t="shared" si="11"/>
        <v>RataCabra</v>
      </c>
    </row>
    <row r="11" spans="1:16">
      <c r="A11" s="132">
        <v>0.625</v>
      </c>
      <c r="B11" s="131">
        <v>0.70832175925925922</v>
      </c>
      <c r="C11" s="27" t="s">
        <v>158</v>
      </c>
      <c r="D11" s="104">
        <v>8</v>
      </c>
      <c r="E11" s="197" t="str">
        <f t="shared" si="0"/>
        <v>BúfaloMono</v>
      </c>
      <c r="F11" s="198" t="str">
        <f t="shared" si="1"/>
        <v>TigreMono</v>
      </c>
      <c r="G11" s="197" t="str">
        <f t="shared" si="2"/>
        <v>ConejoMono</v>
      </c>
      <c r="H11" s="197" t="str">
        <f t="shared" si="3"/>
        <v>DragónMono</v>
      </c>
      <c r="I11" s="197" t="str">
        <f t="shared" si="4"/>
        <v>SerpienteMono</v>
      </c>
      <c r="J11" s="197" t="str">
        <f t="shared" si="5"/>
        <v>CaballoMono</v>
      </c>
      <c r="K11" s="197" t="str">
        <f t="shared" si="6"/>
        <v>CabraMono</v>
      </c>
      <c r="L11" s="199" t="str">
        <f t="shared" si="7"/>
        <v>MonoMono</v>
      </c>
      <c r="M11" s="197" t="str">
        <f t="shared" si="8"/>
        <v>GalloMono</v>
      </c>
      <c r="N11" s="197" t="str">
        <f t="shared" si="9"/>
        <v>PerroMono</v>
      </c>
      <c r="O11" s="197" t="str">
        <f t="shared" si="10"/>
        <v>JabalíMono</v>
      </c>
      <c r="P11" s="197" t="str">
        <f t="shared" si="11"/>
        <v>RataMono</v>
      </c>
    </row>
    <row r="12" spans="1:16">
      <c r="A12" s="132">
        <v>0.70833333333333337</v>
      </c>
      <c r="B12" s="131">
        <v>0.79165509259259259</v>
      </c>
      <c r="C12" s="27" t="s">
        <v>160</v>
      </c>
      <c r="D12" s="104">
        <v>9</v>
      </c>
      <c r="E12" s="197" t="str">
        <f t="shared" si="0"/>
        <v>BúfaloGallo</v>
      </c>
      <c r="F12" s="197" t="str">
        <f t="shared" si="1"/>
        <v>TigreGallo</v>
      </c>
      <c r="G12" s="198" t="str">
        <f t="shared" si="2"/>
        <v>ConejoGallo</v>
      </c>
      <c r="H12" s="197" t="str">
        <f t="shared" si="3"/>
        <v>DragónGallo</v>
      </c>
      <c r="I12" s="197" t="str">
        <f t="shared" si="4"/>
        <v>SerpienteGallo</v>
      </c>
      <c r="J12" s="197" t="str">
        <f t="shared" si="5"/>
        <v>CaballoGallo</v>
      </c>
      <c r="K12" s="197" t="str">
        <f t="shared" si="6"/>
        <v>CabraGallo</v>
      </c>
      <c r="L12" s="197" t="str">
        <f t="shared" si="7"/>
        <v>MonoGallo</v>
      </c>
      <c r="M12" s="199" t="str">
        <f t="shared" si="8"/>
        <v>GalloGallo</v>
      </c>
      <c r="N12" s="197" t="str">
        <f t="shared" si="9"/>
        <v>PerroGallo</v>
      </c>
      <c r="O12" s="197" t="str">
        <f t="shared" si="10"/>
        <v>JabalíGallo</v>
      </c>
      <c r="P12" s="197" t="str">
        <f t="shared" si="11"/>
        <v>RataGallo</v>
      </c>
    </row>
    <row r="13" spans="1:16">
      <c r="A13" s="132">
        <v>0.79166666666666663</v>
      </c>
      <c r="B13" s="131">
        <v>0.87498842592592585</v>
      </c>
      <c r="C13" s="27" t="s">
        <v>161</v>
      </c>
      <c r="D13" s="104">
        <v>10</v>
      </c>
      <c r="E13" s="197" t="str">
        <f t="shared" si="0"/>
        <v>BúfaloPerro</v>
      </c>
      <c r="F13" s="197" t="str">
        <f t="shared" si="1"/>
        <v>TigrePerro</v>
      </c>
      <c r="G13" s="197" t="str">
        <f t="shared" si="2"/>
        <v>ConejoPerro</v>
      </c>
      <c r="H13" s="198" t="str">
        <f t="shared" si="3"/>
        <v>DragónPerro</v>
      </c>
      <c r="I13" s="197" t="str">
        <f t="shared" si="4"/>
        <v>SerpientePerro</v>
      </c>
      <c r="J13" s="197" t="str">
        <f t="shared" si="5"/>
        <v>CaballoPerro</v>
      </c>
      <c r="K13" s="197" t="str">
        <f t="shared" si="6"/>
        <v>CabraPerro</v>
      </c>
      <c r="L13" s="197" t="str">
        <f t="shared" si="7"/>
        <v>MonoPerro</v>
      </c>
      <c r="M13" s="197" t="str">
        <f t="shared" si="8"/>
        <v>GalloPerro</v>
      </c>
      <c r="N13" s="199" t="str">
        <f t="shared" si="9"/>
        <v>PerroPerro</v>
      </c>
      <c r="O13" s="197" t="str">
        <f t="shared" si="10"/>
        <v>JabalíPerro</v>
      </c>
      <c r="P13" s="197" t="str">
        <f t="shared" si="11"/>
        <v>RataPerro</v>
      </c>
    </row>
    <row r="14" spans="1:16">
      <c r="A14" s="132">
        <v>0.875</v>
      </c>
      <c r="B14" s="131">
        <v>0.95832175925925922</v>
      </c>
      <c r="C14" s="27" t="s">
        <v>293</v>
      </c>
      <c r="D14" s="104">
        <v>11</v>
      </c>
      <c r="E14" s="197" t="str">
        <f t="shared" si="0"/>
        <v>BúfaloJabalí</v>
      </c>
      <c r="F14" s="197" t="str">
        <f t="shared" si="1"/>
        <v>TigreJabalí</v>
      </c>
      <c r="G14" s="197" t="str">
        <f t="shared" si="2"/>
        <v>ConejoJabalí</v>
      </c>
      <c r="H14" s="197" t="str">
        <f t="shared" si="3"/>
        <v>DragónJabalí</v>
      </c>
      <c r="I14" s="198" t="str">
        <f t="shared" si="4"/>
        <v>SerpienteJabalí</v>
      </c>
      <c r="J14" s="197" t="str">
        <f t="shared" si="5"/>
        <v>CaballoJabalí</v>
      </c>
      <c r="K14" s="197" t="str">
        <f t="shared" si="6"/>
        <v>CabraJabalí</v>
      </c>
      <c r="L14" s="197" t="str">
        <f t="shared" si="7"/>
        <v>MonoJabalí</v>
      </c>
      <c r="M14" s="197" t="str">
        <f t="shared" si="8"/>
        <v>GalloJabalí</v>
      </c>
      <c r="N14" s="197" t="str">
        <f t="shared" si="9"/>
        <v>PerroJabalí</v>
      </c>
      <c r="O14" s="199" t="str">
        <f t="shared" si="10"/>
        <v>JabalíJabalí</v>
      </c>
      <c r="P14" s="197" t="str">
        <f t="shared" si="11"/>
        <v>RataJabalí</v>
      </c>
    </row>
    <row r="15" spans="1:16" ht="13.5" thickBot="1">
      <c r="A15" s="133">
        <v>0.95833333333333337</v>
      </c>
      <c r="B15" s="134">
        <v>1.0416550925925925</v>
      </c>
      <c r="C15" s="30" t="s">
        <v>147</v>
      </c>
      <c r="D15" s="104">
        <v>12</v>
      </c>
      <c r="E15" s="197" t="str">
        <f t="shared" si="0"/>
        <v>BúfaloRata</v>
      </c>
      <c r="F15" s="197" t="str">
        <f t="shared" si="1"/>
        <v>TigreRata</v>
      </c>
      <c r="G15" s="197" t="str">
        <f t="shared" si="2"/>
        <v>ConejoRata</v>
      </c>
      <c r="H15" s="197" t="str">
        <f t="shared" si="3"/>
        <v>DragónRata</v>
      </c>
      <c r="I15" s="197" t="str">
        <f t="shared" si="4"/>
        <v>SerpienteRata</v>
      </c>
      <c r="J15" s="198" t="str">
        <f>CONCATENATE($C$9,C15)</f>
        <v>CaballoRata</v>
      </c>
      <c r="K15" s="197" t="str">
        <f t="shared" si="6"/>
        <v>CabraRata</v>
      </c>
      <c r="L15" s="197" t="str">
        <f t="shared" si="7"/>
        <v>MonoRata</v>
      </c>
      <c r="M15" s="197" t="str">
        <f t="shared" si="8"/>
        <v>GalloRata</v>
      </c>
      <c r="N15" s="197" t="str">
        <f t="shared" si="9"/>
        <v>PerroRata</v>
      </c>
      <c r="O15" s="197" t="str">
        <f t="shared" si="10"/>
        <v>JabalíRata</v>
      </c>
      <c r="P15" s="199" t="str">
        <f t="shared" si="11"/>
        <v>RataRata</v>
      </c>
    </row>
    <row r="16" spans="1:16" ht="13.5" thickBot="1">
      <c r="A16" s="120"/>
      <c r="B16" s="120"/>
      <c r="C16" s="18"/>
      <c r="E16" s="197" t="str">
        <f t="shared" si="0"/>
        <v>Búfalo</v>
      </c>
      <c r="F16" s="197" t="str">
        <f t="shared" si="1"/>
        <v>Tigre</v>
      </c>
      <c r="G16" s="197" t="str">
        <f t="shared" si="2"/>
        <v>Conejo</v>
      </c>
      <c r="H16" s="197" t="str">
        <f t="shared" si="3"/>
        <v>Dragón</v>
      </c>
      <c r="I16" s="197" t="str">
        <f t="shared" si="4"/>
        <v>Serpiente</v>
      </c>
      <c r="J16" s="197" t="str">
        <f>CONCATENATE($C$9,C16)</f>
        <v>Caballo</v>
      </c>
      <c r="K16" s="197" t="str">
        <f t="shared" si="6"/>
        <v>Cabra</v>
      </c>
      <c r="L16" s="197" t="str">
        <f t="shared" si="7"/>
        <v>Mono</v>
      </c>
      <c r="M16" s="197" t="str">
        <f t="shared" si="8"/>
        <v>Gallo</v>
      </c>
      <c r="N16" s="197" t="str">
        <f t="shared" si="9"/>
        <v>Perro</v>
      </c>
      <c r="O16" s="197" t="str">
        <f t="shared" si="10"/>
        <v>Jabalí</v>
      </c>
      <c r="P16" s="197" t="str">
        <f t="shared" si="11"/>
        <v>Rata</v>
      </c>
    </row>
    <row r="17" spans="1:7">
      <c r="A17" s="568" t="s">
        <v>213</v>
      </c>
      <c r="B17" s="574" t="s">
        <v>76</v>
      </c>
      <c r="C17" s="574"/>
      <c r="D17" s="566" t="s">
        <v>78</v>
      </c>
      <c r="G17" s="197"/>
    </row>
    <row r="18" spans="1:7" ht="13.5" thickBot="1">
      <c r="A18" s="569"/>
      <c r="B18" s="575"/>
      <c r="C18" s="575"/>
      <c r="D18" s="567"/>
    </row>
    <row r="19" spans="1:7" ht="13.5" thickBot="1">
      <c r="A19" s="153" t="s">
        <v>366</v>
      </c>
      <c r="B19" s="154" t="s">
        <v>253</v>
      </c>
      <c r="C19" s="154" t="s">
        <v>253</v>
      </c>
      <c r="D19" s="203" t="s">
        <v>491</v>
      </c>
    </row>
    <row r="20" spans="1:7" ht="13.5" thickBot="1">
      <c r="A20" s="153" t="s">
        <v>370</v>
      </c>
      <c r="B20" s="154" t="s">
        <v>253</v>
      </c>
      <c r="C20" s="154" t="s">
        <v>156</v>
      </c>
      <c r="D20" s="203" t="s">
        <v>491</v>
      </c>
    </row>
    <row r="21" spans="1:7" ht="39" thickBot="1">
      <c r="A21" s="153" t="str">
        <f>CONCATENATE(B21,C21)</f>
        <v>BúfaloCabra</v>
      </c>
      <c r="B21" s="154" t="s">
        <v>253</v>
      </c>
      <c r="C21" s="154" t="s">
        <v>254</v>
      </c>
      <c r="D21" s="155" t="s">
        <v>81</v>
      </c>
    </row>
    <row r="22" spans="1:7" ht="13.5" thickBot="1">
      <c r="A22" s="153" t="s">
        <v>367</v>
      </c>
      <c r="B22" s="154" t="s">
        <v>253</v>
      </c>
      <c r="C22" s="154" t="s">
        <v>153</v>
      </c>
      <c r="D22" s="203" t="s">
        <v>491</v>
      </c>
    </row>
    <row r="23" spans="1:7" ht="13.5" thickBot="1">
      <c r="A23" s="153" t="s">
        <v>368</v>
      </c>
      <c r="B23" s="154" t="s">
        <v>253</v>
      </c>
      <c r="C23" s="154" t="s">
        <v>162</v>
      </c>
      <c r="D23" s="203" t="s">
        <v>491</v>
      </c>
    </row>
    <row r="24" spans="1:7" ht="13.5" thickBot="1">
      <c r="A24" s="153" t="s">
        <v>372</v>
      </c>
      <c r="B24" s="154" t="s">
        <v>253</v>
      </c>
      <c r="C24" s="154" t="s">
        <v>160</v>
      </c>
      <c r="D24" s="203" t="s">
        <v>491</v>
      </c>
    </row>
    <row r="25" spans="1:7" ht="13.5" thickBot="1">
      <c r="A25" s="153" t="s">
        <v>374</v>
      </c>
      <c r="B25" s="154" t="s">
        <v>253</v>
      </c>
      <c r="C25" s="154" t="s">
        <v>293</v>
      </c>
      <c r="D25" s="203" t="s">
        <v>491</v>
      </c>
    </row>
    <row r="26" spans="1:7" ht="13.5" thickBot="1">
      <c r="A26" s="200" t="s">
        <v>371</v>
      </c>
      <c r="B26" s="154" t="s">
        <v>253</v>
      </c>
      <c r="C26" s="201" t="s">
        <v>158</v>
      </c>
      <c r="D26" s="203" t="s">
        <v>491</v>
      </c>
    </row>
    <row r="27" spans="1:7" ht="13.5" thickBot="1">
      <c r="A27" s="200" t="s">
        <v>373</v>
      </c>
      <c r="B27" s="154" t="s">
        <v>253</v>
      </c>
      <c r="C27" s="201" t="s">
        <v>161</v>
      </c>
      <c r="D27" s="203" t="s">
        <v>491</v>
      </c>
    </row>
    <row r="28" spans="1:7" ht="13.5" thickBot="1">
      <c r="A28" s="200" t="s">
        <v>375</v>
      </c>
      <c r="B28" s="154" t="s">
        <v>253</v>
      </c>
      <c r="C28" s="201" t="s">
        <v>147</v>
      </c>
      <c r="D28" s="203" t="s">
        <v>491</v>
      </c>
    </row>
    <row r="29" spans="1:7" ht="13.5" thickBot="1">
      <c r="A29" s="200" t="s">
        <v>369</v>
      </c>
      <c r="B29" s="154" t="s">
        <v>253</v>
      </c>
      <c r="C29" s="201" t="s">
        <v>155</v>
      </c>
      <c r="D29" s="203" t="s">
        <v>491</v>
      </c>
    </row>
    <row r="30" spans="1:7" ht="13.5" thickBot="1">
      <c r="A30" s="200" t="s">
        <v>354</v>
      </c>
      <c r="B30" s="154" t="s">
        <v>253</v>
      </c>
      <c r="C30" s="201" t="s">
        <v>151</v>
      </c>
      <c r="D30" s="203" t="s">
        <v>491</v>
      </c>
    </row>
    <row r="31" spans="1:7" ht="13.5" thickBot="1">
      <c r="A31" s="200" t="s">
        <v>416</v>
      </c>
      <c r="B31" s="201" t="s">
        <v>156</v>
      </c>
      <c r="C31" s="201" t="s">
        <v>253</v>
      </c>
      <c r="D31" s="203" t="s">
        <v>491</v>
      </c>
    </row>
    <row r="32" spans="1:7" ht="13.5" thickBot="1">
      <c r="A32" s="153" t="s">
        <v>420</v>
      </c>
      <c r="B32" s="201" t="s">
        <v>156</v>
      </c>
      <c r="C32" s="154" t="s">
        <v>156</v>
      </c>
      <c r="D32" s="203" t="s">
        <v>491</v>
      </c>
    </row>
    <row r="33" spans="1:4" ht="13.5" thickBot="1">
      <c r="A33" s="153" t="s">
        <v>421</v>
      </c>
      <c r="B33" s="201" t="s">
        <v>156</v>
      </c>
      <c r="C33" s="154" t="s">
        <v>254</v>
      </c>
      <c r="D33" s="203" t="s">
        <v>491</v>
      </c>
    </row>
    <row r="34" spans="1:4" ht="13.5" thickBot="1">
      <c r="A34" s="153" t="s">
        <v>417</v>
      </c>
      <c r="B34" s="201" t="s">
        <v>156</v>
      </c>
      <c r="C34" s="154" t="s">
        <v>153</v>
      </c>
      <c r="D34" s="203" t="s">
        <v>491</v>
      </c>
    </row>
    <row r="35" spans="1:4" ht="13.5" thickBot="1">
      <c r="A35" s="153" t="s">
        <v>418</v>
      </c>
      <c r="B35" s="201" t="s">
        <v>156</v>
      </c>
      <c r="C35" s="154" t="s">
        <v>162</v>
      </c>
      <c r="D35" s="203" t="s">
        <v>491</v>
      </c>
    </row>
    <row r="36" spans="1:4" ht="13.5" thickBot="1">
      <c r="A36" s="153" t="s">
        <v>423</v>
      </c>
      <c r="B36" s="201" t="s">
        <v>156</v>
      </c>
      <c r="C36" s="154" t="s">
        <v>160</v>
      </c>
      <c r="D36" s="203" t="s">
        <v>491</v>
      </c>
    </row>
    <row r="37" spans="1:4">
      <c r="A37" s="153" t="s">
        <v>425</v>
      </c>
      <c r="B37" s="201" t="s">
        <v>156</v>
      </c>
      <c r="C37" s="154" t="s">
        <v>293</v>
      </c>
      <c r="D37" s="203" t="s">
        <v>491</v>
      </c>
    </row>
    <row r="38" spans="1:4" ht="13.5" thickBot="1">
      <c r="A38" s="157" t="s">
        <v>422</v>
      </c>
      <c r="B38" s="138" t="s">
        <v>156</v>
      </c>
      <c r="C38" s="138" t="s">
        <v>158</v>
      </c>
      <c r="D38" s="209" t="s">
        <v>491</v>
      </c>
    </row>
    <row r="39" spans="1:4" ht="13.5" thickBot="1">
      <c r="A39" s="205" t="s">
        <v>424</v>
      </c>
      <c r="B39" s="138" t="s">
        <v>156</v>
      </c>
      <c r="C39" s="206" t="s">
        <v>161</v>
      </c>
      <c r="D39" s="203" t="s">
        <v>491</v>
      </c>
    </row>
    <row r="40" spans="1:4" ht="39" thickBot="1">
      <c r="A40" s="205" t="str">
        <f>CONCATENATE(B40,C40)</f>
        <v>CaballoRata</v>
      </c>
      <c r="B40" s="138" t="s">
        <v>156</v>
      </c>
      <c r="C40" s="206" t="s">
        <v>147</v>
      </c>
      <c r="D40" s="155" t="s">
        <v>77</v>
      </c>
    </row>
    <row r="41" spans="1:4" ht="13.5" thickBot="1">
      <c r="A41" s="205" t="s">
        <v>419</v>
      </c>
      <c r="B41" s="138" t="s">
        <v>156</v>
      </c>
      <c r="C41" s="206" t="s">
        <v>155</v>
      </c>
      <c r="D41" s="203" t="s">
        <v>491</v>
      </c>
    </row>
    <row r="42" spans="1:4" ht="13.5" thickBot="1">
      <c r="A42" s="205" t="s">
        <v>359</v>
      </c>
      <c r="B42" s="138" t="s">
        <v>156</v>
      </c>
      <c r="C42" s="206" t="s">
        <v>151</v>
      </c>
      <c r="D42" s="203" t="s">
        <v>491</v>
      </c>
    </row>
    <row r="43" spans="1:4" ht="39" thickBot="1">
      <c r="A43" s="205" t="str">
        <f>CONCATENATE(B43,C43)</f>
        <v>CabraBúfalo</v>
      </c>
      <c r="B43" s="135" t="s">
        <v>254</v>
      </c>
      <c r="C43" s="206" t="s">
        <v>253</v>
      </c>
      <c r="D43" s="155" t="s">
        <v>81</v>
      </c>
    </row>
    <row r="44" spans="1:4" ht="13.5" thickBot="1">
      <c r="A44" s="205" t="s">
        <v>429</v>
      </c>
      <c r="B44" s="135" t="s">
        <v>254</v>
      </c>
      <c r="C44" s="206" t="s">
        <v>156</v>
      </c>
      <c r="D44" s="203" t="s">
        <v>491</v>
      </c>
    </row>
    <row r="45" spans="1:4" ht="13.5" thickBot="1">
      <c r="A45" s="205" t="s">
        <v>430</v>
      </c>
      <c r="B45" s="135" t="s">
        <v>254</v>
      </c>
      <c r="C45" s="206" t="s">
        <v>254</v>
      </c>
      <c r="D45" s="203" t="s">
        <v>491</v>
      </c>
    </row>
    <row r="46" spans="1:4" ht="13.5" thickBot="1">
      <c r="A46" s="205" t="s">
        <v>426</v>
      </c>
      <c r="B46" s="135" t="s">
        <v>254</v>
      </c>
      <c r="C46" s="206" t="s">
        <v>153</v>
      </c>
      <c r="D46" s="203" t="s">
        <v>491</v>
      </c>
    </row>
    <row r="47" spans="1:4" ht="13.5" thickBot="1">
      <c r="A47" s="205" t="s">
        <v>427</v>
      </c>
      <c r="B47" s="135" t="s">
        <v>254</v>
      </c>
      <c r="C47" s="206" t="s">
        <v>162</v>
      </c>
      <c r="D47" s="203" t="s">
        <v>491</v>
      </c>
    </row>
    <row r="48" spans="1:4" ht="13.5" thickBot="1">
      <c r="A48" s="205" t="s">
        <v>432</v>
      </c>
      <c r="B48" s="135" t="s">
        <v>254</v>
      </c>
      <c r="C48" s="206" t="s">
        <v>160</v>
      </c>
      <c r="D48" s="203" t="s">
        <v>491</v>
      </c>
    </row>
    <row r="49" spans="1:4" ht="13.5" thickBot="1">
      <c r="A49" s="205" t="s">
        <v>434</v>
      </c>
      <c r="B49" s="135" t="s">
        <v>254</v>
      </c>
      <c r="C49" s="206" t="s">
        <v>293</v>
      </c>
      <c r="D49" s="203" t="s">
        <v>491</v>
      </c>
    </row>
    <row r="50" spans="1:4">
      <c r="A50" s="205" t="s">
        <v>431</v>
      </c>
      <c r="B50" s="135" t="s">
        <v>254</v>
      </c>
      <c r="C50" s="206" t="s">
        <v>158</v>
      </c>
      <c r="D50" s="203" t="s">
        <v>491</v>
      </c>
    </row>
    <row r="51" spans="1:4" ht="13.5" thickBot="1">
      <c r="A51" s="156" t="s">
        <v>433</v>
      </c>
      <c r="B51" s="135" t="s">
        <v>254</v>
      </c>
      <c r="C51" s="135" t="s">
        <v>161</v>
      </c>
      <c r="D51" s="208" t="s">
        <v>491</v>
      </c>
    </row>
    <row r="52" spans="1:4" ht="13.5" thickBot="1">
      <c r="A52" s="156" t="s">
        <v>435</v>
      </c>
      <c r="B52" s="135" t="s">
        <v>254</v>
      </c>
      <c r="C52" s="135" t="s">
        <v>147</v>
      </c>
      <c r="D52" s="203" t="s">
        <v>491</v>
      </c>
    </row>
    <row r="53" spans="1:4" ht="13.5" thickBot="1">
      <c r="A53" s="156" t="s">
        <v>428</v>
      </c>
      <c r="B53" s="135" t="s">
        <v>254</v>
      </c>
      <c r="C53" s="135" t="s">
        <v>155</v>
      </c>
      <c r="D53" s="203" t="s">
        <v>491</v>
      </c>
    </row>
    <row r="54" spans="1:4" ht="13.5" thickBot="1">
      <c r="A54" s="156" t="s">
        <v>360</v>
      </c>
      <c r="B54" s="135" t="s">
        <v>254</v>
      </c>
      <c r="C54" s="135" t="s">
        <v>151</v>
      </c>
      <c r="D54" s="203" t="s">
        <v>491</v>
      </c>
    </row>
    <row r="55" spans="1:4" ht="13.5" thickBot="1">
      <c r="A55" s="156" t="s">
        <v>386</v>
      </c>
      <c r="B55" s="135" t="s">
        <v>153</v>
      </c>
      <c r="C55" s="135" t="s">
        <v>253</v>
      </c>
      <c r="D55" s="203" t="s">
        <v>491</v>
      </c>
    </row>
    <row r="56" spans="1:4" ht="13.5" thickBot="1">
      <c r="A56" s="156" t="s">
        <v>390</v>
      </c>
      <c r="B56" s="135" t="s">
        <v>153</v>
      </c>
      <c r="C56" s="135" t="s">
        <v>156</v>
      </c>
      <c r="D56" s="203" t="s">
        <v>491</v>
      </c>
    </row>
    <row r="57" spans="1:4" ht="13.5" thickBot="1">
      <c r="A57" s="156" t="s">
        <v>391</v>
      </c>
      <c r="B57" s="135" t="s">
        <v>153</v>
      </c>
      <c r="C57" s="135" t="s">
        <v>254</v>
      </c>
      <c r="D57" s="203" t="s">
        <v>491</v>
      </c>
    </row>
    <row r="58" spans="1:4" ht="13.5" thickBot="1">
      <c r="A58" s="156" t="s">
        <v>387</v>
      </c>
      <c r="B58" s="135" t="s">
        <v>153</v>
      </c>
      <c r="C58" s="135" t="s">
        <v>153</v>
      </c>
      <c r="D58" s="203" t="s">
        <v>491</v>
      </c>
    </row>
    <row r="59" spans="1:4" ht="13.5" thickBot="1">
      <c r="A59" s="156" t="s">
        <v>388</v>
      </c>
      <c r="B59" s="135" t="s">
        <v>153</v>
      </c>
      <c r="C59" s="135" t="s">
        <v>162</v>
      </c>
      <c r="D59" s="203" t="s">
        <v>491</v>
      </c>
    </row>
    <row r="60" spans="1:4" ht="51.75" thickBot="1">
      <c r="A60" s="156" t="str">
        <f>CONCATENATE(B60,C60)</f>
        <v>ConejoGallo</v>
      </c>
      <c r="B60" s="135" t="s">
        <v>153</v>
      </c>
      <c r="C60" s="135" t="s">
        <v>160</v>
      </c>
      <c r="D60" s="155" t="s">
        <v>80</v>
      </c>
    </row>
    <row r="61" spans="1:4" ht="13.5" thickBot="1">
      <c r="A61" s="156" t="s">
        <v>394</v>
      </c>
      <c r="B61" s="135" t="s">
        <v>153</v>
      </c>
      <c r="C61" s="135" t="s">
        <v>293</v>
      </c>
      <c r="D61" s="203" t="s">
        <v>491</v>
      </c>
    </row>
    <row r="62" spans="1:4" ht="13.5" thickBot="1">
      <c r="A62" s="156" t="s">
        <v>392</v>
      </c>
      <c r="B62" s="135" t="s">
        <v>153</v>
      </c>
      <c r="C62" s="135" t="s">
        <v>158</v>
      </c>
      <c r="D62" s="203" t="s">
        <v>491</v>
      </c>
    </row>
    <row r="63" spans="1:4">
      <c r="A63" s="156" t="s">
        <v>393</v>
      </c>
      <c r="B63" s="135" t="s">
        <v>153</v>
      </c>
      <c r="C63" s="135" t="s">
        <v>161</v>
      </c>
      <c r="D63" s="203" t="s">
        <v>491</v>
      </c>
    </row>
    <row r="64" spans="1:4" ht="13.5" thickBot="1">
      <c r="A64" s="156" t="s">
        <v>395</v>
      </c>
      <c r="B64" s="135" t="s">
        <v>153</v>
      </c>
      <c r="C64" s="135" t="s">
        <v>147</v>
      </c>
      <c r="D64" s="208" t="s">
        <v>491</v>
      </c>
    </row>
    <row r="65" spans="1:4" ht="13.5" thickBot="1">
      <c r="A65" s="156" t="s">
        <v>389</v>
      </c>
      <c r="B65" s="135" t="s">
        <v>153</v>
      </c>
      <c r="C65" s="135" t="s">
        <v>155</v>
      </c>
      <c r="D65" s="203" t="s">
        <v>491</v>
      </c>
    </row>
    <row r="66" spans="1:4" ht="13.5" thickBot="1">
      <c r="A66" s="156" t="s">
        <v>356</v>
      </c>
      <c r="B66" s="135" t="s">
        <v>153</v>
      </c>
      <c r="C66" s="135" t="s">
        <v>151</v>
      </c>
      <c r="D66" s="203" t="s">
        <v>491</v>
      </c>
    </row>
    <row r="67" spans="1:4" ht="13.5" thickBot="1">
      <c r="A67" s="156" t="s">
        <v>396</v>
      </c>
      <c r="B67" s="135" t="s">
        <v>162</v>
      </c>
      <c r="C67" s="135" t="s">
        <v>253</v>
      </c>
      <c r="D67" s="203" t="s">
        <v>491</v>
      </c>
    </row>
    <row r="68" spans="1:4" ht="13.5" thickBot="1">
      <c r="A68" s="156" t="s">
        <v>400</v>
      </c>
      <c r="B68" s="135" t="s">
        <v>162</v>
      </c>
      <c r="C68" s="135" t="s">
        <v>156</v>
      </c>
      <c r="D68" s="203" t="s">
        <v>491</v>
      </c>
    </row>
    <row r="69" spans="1:4" ht="13.5" thickBot="1">
      <c r="A69" s="156" t="s">
        <v>401</v>
      </c>
      <c r="B69" s="135" t="s">
        <v>162</v>
      </c>
      <c r="C69" s="135" t="s">
        <v>254</v>
      </c>
      <c r="D69" s="203" t="s">
        <v>491</v>
      </c>
    </row>
    <row r="70" spans="1:4" ht="13.5" thickBot="1">
      <c r="A70" s="156" t="s">
        <v>397</v>
      </c>
      <c r="B70" s="135" t="s">
        <v>162</v>
      </c>
      <c r="C70" s="135" t="s">
        <v>153</v>
      </c>
      <c r="D70" s="203" t="s">
        <v>491</v>
      </c>
    </row>
    <row r="71" spans="1:4" ht="13.5" thickBot="1">
      <c r="A71" s="156" t="s">
        <v>398</v>
      </c>
      <c r="B71" s="135" t="s">
        <v>162</v>
      </c>
      <c r="C71" s="135" t="s">
        <v>162</v>
      </c>
      <c r="D71" s="203" t="s">
        <v>491</v>
      </c>
    </row>
    <row r="72" spans="1:4" ht="13.5" thickBot="1">
      <c r="A72" s="156" t="s">
        <v>403</v>
      </c>
      <c r="B72" s="135" t="s">
        <v>162</v>
      </c>
      <c r="C72" s="135" t="s">
        <v>160</v>
      </c>
      <c r="D72" s="203" t="s">
        <v>491</v>
      </c>
    </row>
    <row r="73" spans="1:4" ht="13.5" thickBot="1">
      <c r="A73" s="156" t="s">
        <v>404</v>
      </c>
      <c r="B73" s="135" t="s">
        <v>162</v>
      </c>
      <c r="C73" s="135" t="s">
        <v>293</v>
      </c>
      <c r="D73" s="203" t="s">
        <v>491</v>
      </c>
    </row>
    <row r="74" spans="1:4" ht="13.5" thickBot="1">
      <c r="A74" s="156" t="s">
        <v>402</v>
      </c>
      <c r="B74" s="135" t="s">
        <v>162</v>
      </c>
      <c r="C74" s="135" t="s">
        <v>158</v>
      </c>
      <c r="D74" s="203" t="s">
        <v>491</v>
      </c>
    </row>
    <row r="75" spans="1:4" ht="51.75" thickBot="1">
      <c r="A75" s="156" t="str">
        <f>CONCATENATE(B75,C75)</f>
        <v>DragónPerro</v>
      </c>
      <c r="B75" s="135" t="s">
        <v>162</v>
      </c>
      <c r="C75" s="135" t="s">
        <v>161</v>
      </c>
      <c r="D75" s="155" t="s">
        <v>212</v>
      </c>
    </row>
    <row r="76" spans="1:4">
      <c r="A76" s="156" t="s">
        <v>405</v>
      </c>
      <c r="B76" s="135" t="s">
        <v>162</v>
      </c>
      <c r="C76" s="135" t="s">
        <v>147</v>
      </c>
      <c r="D76" s="203" t="s">
        <v>491</v>
      </c>
    </row>
    <row r="77" spans="1:4" ht="13.5" thickBot="1">
      <c r="A77" s="156" t="s">
        <v>399</v>
      </c>
      <c r="B77" s="135" t="s">
        <v>162</v>
      </c>
      <c r="C77" s="135" t="s">
        <v>155</v>
      </c>
      <c r="D77" s="208" t="s">
        <v>491</v>
      </c>
    </row>
    <row r="78" spans="1:4" ht="13.5" thickBot="1">
      <c r="A78" s="156" t="s">
        <v>357</v>
      </c>
      <c r="B78" s="135" t="s">
        <v>162</v>
      </c>
      <c r="C78" s="135" t="s">
        <v>151</v>
      </c>
      <c r="D78" s="203" t="s">
        <v>491</v>
      </c>
    </row>
    <row r="79" spans="1:4" ht="13.5" thickBot="1">
      <c r="A79" s="156" t="s">
        <v>469</v>
      </c>
      <c r="B79" s="135" t="s">
        <v>160</v>
      </c>
      <c r="C79" s="135" t="s">
        <v>253</v>
      </c>
      <c r="D79" s="203" t="s">
        <v>491</v>
      </c>
    </row>
    <row r="80" spans="1:4" ht="13.5" thickBot="1">
      <c r="A80" s="156" t="s">
        <v>473</v>
      </c>
      <c r="B80" s="135" t="s">
        <v>160</v>
      </c>
      <c r="C80" s="135" t="s">
        <v>156</v>
      </c>
      <c r="D80" s="203" t="s">
        <v>491</v>
      </c>
    </row>
    <row r="81" spans="1:4" ht="13.5" thickBot="1">
      <c r="A81" s="156" t="s">
        <v>474</v>
      </c>
      <c r="B81" s="135" t="s">
        <v>160</v>
      </c>
      <c r="C81" s="135" t="s">
        <v>254</v>
      </c>
      <c r="D81" s="203" t="s">
        <v>491</v>
      </c>
    </row>
    <row r="82" spans="1:4" ht="51.75" thickBot="1">
      <c r="A82" s="156" t="s">
        <v>470</v>
      </c>
      <c r="B82" s="135" t="s">
        <v>160</v>
      </c>
      <c r="C82" s="135" t="s">
        <v>153</v>
      </c>
      <c r="D82" s="155" t="s">
        <v>80</v>
      </c>
    </row>
    <row r="83" spans="1:4" ht="13.5" thickBot="1">
      <c r="A83" s="156" t="s">
        <v>471</v>
      </c>
      <c r="B83" s="135" t="s">
        <v>160</v>
      </c>
      <c r="C83" s="135" t="s">
        <v>162</v>
      </c>
      <c r="D83" s="203" t="s">
        <v>491</v>
      </c>
    </row>
    <row r="84" spans="1:4" ht="13.5" thickBot="1">
      <c r="A84" s="156" t="s">
        <v>476</v>
      </c>
      <c r="B84" s="135" t="s">
        <v>160</v>
      </c>
      <c r="C84" s="135" t="s">
        <v>160</v>
      </c>
      <c r="D84" s="203" t="s">
        <v>491</v>
      </c>
    </row>
    <row r="85" spans="1:4" ht="13.5" thickBot="1">
      <c r="A85" s="156" t="s">
        <v>478</v>
      </c>
      <c r="B85" s="135" t="s">
        <v>160</v>
      </c>
      <c r="C85" s="135" t="s">
        <v>293</v>
      </c>
      <c r="D85" s="203" t="s">
        <v>491</v>
      </c>
    </row>
    <row r="86" spans="1:4" ht="13.5" thickBot="1">
      <c r="A86" s="156" t="s">
        <v>475</v>
      </c>
      <c r="B86" s="135" t="s">
        <v>160</v>
      </c>
      <c r="C86" s="135" t="s">
        <v>158</v>
      </c>
      <c r="D86" s="203" t="s">
        <v>491</v>
      </c>
    </row>
    <row r="87" spans="1:4" ht="13.5" thickBot="1">
      <c r="A87" s="156" t="s">
        <v>477</v>
      </c>
      <c r="B87" s="135" t="s">
        <v>160</v>
      </c>
      <c r="C87" s="135" t="s">
        <v>161</v>
      </c>
      <c r="D87" s="203" t="s">
        <v>491</v>
      </c>
    </row>
    <row r="88" spans="1:4" ht="13.5" thickBot="1">
      <c r="A88" s="156" t="s">
        <v>479</v>
      </c>
      <c r="B88" s="135" t="s">
        <v>160</v>
      </c>
      <c r="C88" s="135" t="s">
        <v>147</v>
      </c>
      <c r="D88" s="203" t="s">
        <v>491</v>
      </c>
    </row>
    <row r="89" spans="1:4">
      <c r="A89" s="156" t="s">
        <v>472</v>
      </c>
      <c r="B89" s="135" t="s">
        <v>160</v>
      </c>
      <c r="C89" s="135" t="s">
        <v>155</v>
      </c>
      <c r="D89" s="203" t="s">
        <v>491</v>
      </c>
    </row>
    <row r="90" spans="1:4">
      <c r="A90" s="156" t="s">
        <v>362</v>
      </c>
      <c r="B90" s="135" t="s">
        <v>160</v>
      </c>
      <c r="C90" s="135" t="s">
        <v>151</v>
      </c>
      <c r="D90" s="208" t="s">
        <v>491</v>
      </c>
    </row>
    <row r="91" spans="1:4" ht="13.5" thickBot="1">
      <c r="A91" s="156" t="s">
        <v>458</v>
      </c>
      <c r="B91" s="135" t="s">
        <v>293</v>
      </c>
      <c r="C91" s="135" t="s">
        <v>253</v>
      </c>
      <c r="D91" s="208" t="s">
        <v>491</v>
      </c>
    </row>
    <row r="92" spans="1:4" ht="13.5" thickBot="1">
      <c r="A92" s="156" t="s">
        <v>462</v>
      </c>
      <c r="B92" s="135" t="s">
        <v>293</v>
      </c>
      <c r="C92" s="135" t="s">
        <v>156</v>
      </c>
      <c r="D92" s="203" t="s">
        <v>491</v>
      </c>
    </row>
    <row r="93" spans="1:4" ht="13.5" thickBot="1">
      <c r="A93" s="156" t="s">
        <v>463</v>
      </c>
      <c r="B93" s="135" t="s">
        <v>293</v>
      </c>
      <c r="C93" s="135" t="s">
        <v>254</v>
      </c>
      <c r="D93" s="203" t="s">
        <v>491</v>
      </c>
    </row>
    <row r="94" spans="1:4" ht="13.5" thickBot="1">
      <c r="A94" s="156" t="s">
        <v>459</v>
      </c>
      <c r="B94" s="135" t="s">
        <v>293</v>
      </c>
      <c r="C94" s="135" t="s">
        <v>153</v>
      </c>
      <c r="D94" s="203" t="s">
        <v>491</v>
      </c>
    </row>
    <row r="95" spans="1:4" ht="13.5" thickBot="1">
      <c r="A95" s="156" t="s">
        <v>460</v>
      </c>
      <c r="B95" s="135" t="s">
        <v>293</v>
      </c>
      <c r="C95" s="135" t="s">
        <v>162</v>
      </c>
      <c r="D95" s="203" t="s">
        <v>491</v>
      </c>
    </row>
    <row r="96" spans="1:4" ht="13.5" thickBot="1">
      <c r="A96" s="156" t="s">
        <v>465</v>
      </c>
      <c r="B96" s="135" t="s">
        <v>293</v>
      </c>
      <c r="C96" s="135" t="s">
        <v>160</v>
      </c>
      <c r="D96" s="203" t="s">
        <v>491</v>
      </c>
    </row>
    <row r="97" spans="1:4" ht="13.5" thickBot="1">
      <c r="A97" s="156" t="s">
        <v>467</v>
      </c>
      <c r="B97" s="135" t="s">
        <v>293</v>
      </c>
      <c r="C97" s="135" t="s">
        <v>293</v>
      </c>
      <c r="D97" s="203" t="s">
        <v>491</v>
      </c>
    </row>
    <row r="98" spans="1:4" ht="13.5" thickBot="1">
      <c r="A98" s="156" t="s">
        <v>464</v>
      </c>
      <c r="B98" s="135" t="s">
        <v>293</v>
      </c>
      <c r="C98" s="135" t="s">
        <v>158</v>
      </c>
      <c r="D98" s="203" t="s">
        <v>491</v>
      </c>
    </row>
    <row r="99" spans="1:4" ht="13.5" thickBot="1">
      <c r="A99" s="156" t="s">
        <v>466</v>
      </c>
      <c r="B99" s="135" t="s">
        <v>293</v>
      </c>
      <c r="C99" s="135" t="s">
        <v>161</v>
      </c>
      <c r="D99" s="203" t="s">
        <v>491</v>
      </c>
    </row>
    <row r="100" spans="1:4" ht="13.5" thickBot="1">
      <c r="A100" s="156" t="s">
        <v>468</v>
      </c>
      <c r="B100" s="135" t="s">
        <v>293</v>
      </c>
      <c r="C100" s="135" t="s">
        <v>147</v>
      </c>
      <c r="D100" s="203" t="s">
        <v>491</v>
      </c>
    </row>
    <row r="101" spans="1:4" ht="51.75" thickBot="1">
      <c r="A101" s="156" t="s">
        <v>461</v>
      </c>
      <c r="B101" s="135" t="s">
        <v>293</v>
      </c>
      <c r="C101" s="135" t="s">
        <v>155</v>
      </c>
      <c r="D101" s="155" t="s">
        <v>294</v>
      </c>
    </row>
    <row r="102" spans="1:4" ht="13.5" thickBot="1">
      <c r="A102" s="156" t="s">
        <v>364</v>
      </c>
      <c r="B102" s="135" t="s">
        <v>293</v>
      </c>
      <c r="C102" s="135" t="s">
        <v>151</v>
      </c>
      <c r="D102" s="203" t="s">
        <v>491</v>
      </c>
    </row>
    <row r="103" spans="1:4">
      <c r="A103" s="156" t="s">
        <v>436</v>
      </c>
      <c r="B103" s="135" t="s">
        <v>158</v>
      </c>
      <c r="C103" s="135" t="s">
        <v>253</v>
      </c>
      <c r="D103" s="203" t="s">
        <v>491</v>
      </c>
    </row>
    <row r="104" spans="1:4" ht="13.5" thickBot="1">
      <c r="A104" s="156" t="s">
        <v>440</v>
      </c>
      <c r="B104" s="135" t="s">
        <v>158</v>
      </c>
      <c r="C104" s="135" t="s">
        <v>156</v>
      </c>
      <c r="D104" s="208" t="s">
        <v>491</v>
      </c>
    </row>
    <row r="105" spans="1:4" ht="13.5" thickBot="1">
      <c r="A105" s="156" t="s">
        <v>441</v>
      </c>
      <c r="B105" s="135" t="s">
        <v>158</v>
      </c>
      <c r="C105" s="135" t="s">
        <v>254</v>
      </c>
      <c r="D105" s="203" t="s">
        <v>491</v>
      </c>
    </row>
    <row r="106" spans="1:4" ht="13.5" thickBot="1">
      <c r="A106" s="156" t="s">
        <v>437</v>
      </c>
      <c r="B106" s="135" t="s">
        <v>158</v>
      </c>
      <c r="C106" s="135" t="s">
        <v>153</v>
      </c>
      <c r="D106" s="203" t="s">
        <v>491</v>
      </c>
    </row>
    <row r="107" spans="1:4" ht="13.5" thickBot="1">
      <c r="A107" s="156" t="s">
        <v>438</v>
      </c>
      <c r="B107" s="135" t="s">
        <v>158</v>
      </c>
      <c r="C107" s="135" t="s">
        <v>162</v>
      </c>
      <c r="D107" s="203" t="s">
        <v>491</v>
      </c>
    </row>
    <row r="108" spans="1:4" ht="13.5" thickBot="1">
      <c r="A108" s="156" t="s">
        <v>443</v>
      </c>
      <c r="B108" s="135" t="s">
        <v>158</v>
      </c>
      <c r="C108" s="135" t="s">
        <v>160</v>
      </c>
      <c r="D108" s="203" t="s">
        <v>491</v>
      </c>
    </row>
    <row r="109" spans="1:4" ht="13.5" thickBot="1">
      <c r="A109" s="156" t="s">
        <v>445</v>
      </c>
      <c r="B109" s="135" t="s">
        <v>158</v>
      </c>
      <c r="C109" s="135" t="s">
        <v>293</v>
      </c>
      <c r="D109" s="203" t="s">
        <v>491</v>
      </c>
    </row>
    <row r="110" spans="1:4" ht="13.5" thickBot="1">
      <c r="A110" s="156" t="s">
        <v>442</v>
      </c>
      <c r="B110" s="135" t="s">
        <v>158</v>
      </c>
      <c r="C110" s="135" t="s">
        <v>158</v>
      </c>
      <c r="D110" s="203" t="s">
        <v>491</v>
      </c>
    </row>
    <row r="111" spans="1:4" ht="13.5" thickBot="1">
      <c r="A111" s="156" t="s">
        <v>444</v>
      </c>
      <c r="B111" s="135" t="s">
        <v>158</v>
      </c>
      <c r="C111" s="135" t="s">
        <v>161</v>
      </c>
      <c r="D111" s="203" t="s">
        <v>491</v>
      </c>
    </row>
    <row r="112" spans="1:4" ht="13.5" thickBot="1">
      <c r="A112" s="156" t="s">
        <v>446</v>
      </c>
      <c r="B112" s="135" t="s">
        <v>158</v>
      </c>
      <c r="C112" s="135" t="s">
        <v>147</v>
      </c>
      <c r="D112" s="203" t="s">
        <v>491</v>
      </c>
    </row>
    <row r="113" spans="1:4" ht="13.5" thickBot="1">
      <c r="A113" s="156" t="s">
        <v>439</v>
      </c>
      <c r="B113" s="135" t="s">
        <v>158</v>
      </c>
      <c r="C113" s="135" t="s">
        <v>155</v>
      </c>
      <c r="D113" s="203" t="s">
        <v>491</v>
      </c>
    </row>
    <row r="114" spans="1:4" ht="51.75" thickBot="1">
      <c r="A114" s="156" t="s">
        <v>361</v>
      </c>
      <c r="B114" s="135" t="s">
        <v>158</v>
      </c>
      <c r="C114" s="135" t="s">
        <v>151</v>
      </c>
      <c r="D114" s="155" t="s">
        <v>79</v>
      </c>
    </row>
    <row r="115" spans="1:4" ht="13.5" thickBot="1">
      <c r="A115" s="156" t="s">
        <v>447</v>
      </c>
      <c r="B115" s="135" t="s">
        <v>161</v>
      </c>
      <c r="C115" s="135" t="s">
        <v>253</v>
      </c>
      <c r="D115" s="203" t="s">
        <v>491</v>
      </c>
    </row>
    <row r="116" spans="1:4" ht="13.5" thickBot="1">
      <c r="A116" s="156" t="s">
        <v>451</v>
      </c>
      <c r="B116" s="135" t="s">
        <v>161</v>
      </c>
      <c r="C116" s="135" t="s">
        <v>156</v>
      </c>
      <c r="D116" s="203" t="s">
        <v>491</v>
      </c>
    </row>
    <row r="117" spans="1:4">
      <c r="A117" s="156" t="s">
        <v>452</v>
      </c>
      <c r="B117" s="135" t="s">
        <v>161</v>
      </c>
      <c r="C117" s="135" t="s">
        <v>254</v>
      </c>
      <c r="D117" s="203" t="s">
        <v>491</v>
      </c>
    </row>
    <row r="118" spans="1:4">
      <c r="A118" s="156" t="s">
        <v>448</v>
      </c>
      <c r="B118" s="135" t="s">
        <v>161</v>
      </c>
      <c r="C118" s="135" t="s">
        <v>153</v>
      </c>
      <c r="D118" s="208" t="s">
        <v>491</v>
      </c>
    </row>
    <row r="119" spans="1:4" ht="51">
      <c r="A119" s="156" t="s">
        <v>449</v>
      </c>
      <c r="B119" s="135" t="s">
        <v>161</v>
      </c>
      <c r="C119" s="135" t="s">
        <v>162</v>
      </c>
      <c r="D119" s="202" t="s">
        <v>212</v>
      </c>
    </row>
    <row r="120" spans="1:4">
      <c r="A120" s="156" t="s">
        <v>454</v>
      </c>
      <c r="B120" s="135" t="s">
        <v>161</v>
      </c>
      <c r="C120" s="135" t="s">
        <v>160</v>
      </c>
      <c r="D120" s="204" t="s">
        <v>491</v>
      </c>
    </row>
    <row r="121" spans="1:4">
      <c r="A121" s="156" t="s">
        <v>456</v>
      </c>
      <c r="B121" s="135" t="s">
        <v>161</v>
      </c>
      <c r="C121" s="135" t="s">
        <v>293</v>
      </c>
      <c r="D121" s="204" t="s">
        <v>491</v>
      </c>
    </row>
    <row r="122" spans="1:4">
      <c r="A122" s="156" t="s">
        <v>453</v>
      </c>
      <c r="B122" s="135" t="s">
        <v>161</v>
      </c>
      <c r="C122" s="135" t="s">
        <v>158</v>
      </c>
      <c r="D122" s="204" t="s">
        <v>491</v>
      </c>
    </row>
    <row r="123" spans="1:4">
      <c r="A123" s="156" t="s">
        <v>455</v>
      </c>
      <c r="B123" s="135" t="s">
        <v>161</v>
      </c>
      <c r="C123" s="135" t="s">
        <v>161</v>
      </c>
      <c r="D123" s="204" t="s">
        <v>491</v>
      </c>
    </row>
    <row r="124" spans="1:4">
      <c r="A124" s="156" t="s">
        <v>457</v>
      </c>
      <c r="B124" s="135" t="s">
        <v>161</v>
      </c>
      <c r="C124" s="135" t="s">
        <v>147</v>
      </c>
      <c r="D124" s="204" t="s">
        <v>491</v>
      </c>
    </row>
    <row r="125" spans="1:4">
      <c r="A125" s="156" t="s">
        <v>450</v>
      </c>
      <c r="B125" s="135" t="s">
        <v>161</v>
      </c>
      <c r="C125" s="135" t="s">
        <v>155</v>
      </c>
      <c r="D125" s="204" t="s">
        <v>491</v>
      </c>
    </row>
    <row r="126" spans="1:4">
      <c r="A126" s="156" t="s">
        <v>363</v>
      </c>
      <c r="B126" s="135" t="s">
        <v>161</v>
      </c>
      <c r="C126" s="135" t="s">
        <v>151</v>
      </c>
      <c r="D126" s="204" t="s">
        <v>491</v>
      </c>
    </row>
    <row r="127" spans="1:4">
      <c r="A127" s="156" t="s">
        <v>480</v>
      </c>
      <c r="B127" s="135" t="s">
        <v>147</v>
      </c>
      <c r="C127" s="135" t="s">
        <v>253</v>
      </c>
      <c r="D127" s="204" t="s">
        <v>491</v>
      </c>
    </row>
    <row r="128" spans="1:4" ht="38.25">
      <c r="A128" s="156" t="s">
        <v>484</v>
      </c>
      <c r="B128" s="135" t="s">
        <v>147</v>
      </c>
      <c r="C128" s="135" t="s">
        <v>156</v>
      </c>
      <c r="D128" s="210" t="s">
        <v>492</v>
      </c>
    </row>
    <row r="129" spans="1:4">
      <c r="A129" s="156" t="s">
        <v>485</v>
      </c>
      <c r="B129" s="135" t="s">
        <v>147</v>
      </c>
      <c r="C129" s="135" t="s">
        <v>254</v>
      </c>
      <c r="D129" s="208" t="s">
        <v>491</v>
      </c>
    </row>
    <row r="130" spans="1:4">
      <c r="A130" s="156" t="s">
        <v>481</v>
      </c>
      <c r="B130" s="135" t="s">
        <v>147</v>
      </c>
      <c r="C130" s="135" t="s">
        <v>153</v>
      </c>
      <c r="D130" s="204" t="s">
        <v>491</v>
      </c>
    </row>
    <row r="131" spans="1:4">
      <c r="A131" s="156" t="s">
        <v>482</v>
      </c>
      <c r="B131" s="135" t="s">
        <v>147</v>
      </c>
      <c r="C131" s="135" t="s">
        <v>162</v>
      </c>
      <c r="D131" s="204" t="s">
        <v>491</v>
      </c>
    </row>
    <row r="132" spans="1:4">
      <c r="A132" s="156" t="s">
        <v>487</v>
      </c>
      <c r="B132" s="135" t="s">
        <v>147</v>
      </c>
      <c r="C132" s="135" t="s">
        <v>160</v>
      </c>
      <c r="D132" s="204" t="s">
        <v>491</v>
      </c>
    </row>
    <row r="133" spans="1:4">
      <c r="A133" s="156" t="s">
        <v>489</v>
      </c>
      <c r="B133" s="135" t="s">
        <v>147</v>
      </c>
      <c r="C133" s="135" t="s">
        <v>293</v>
      </c>
      <c r="D133" s="204" t="s">
        <v>491</v>
      </c>
    </row>
    <row r="134" spans="1:4">
      <c r="A134" s="156" t="s">
        <v>486</v>
      </c>
      <c r="B134" s="135" t="s">
        <v>147</v>
      </c>
      <c r="C134" s="135" t="s">
        <v>158</v>
      </c>
      <c r="D134" s="204" t="s">
        <v>491</v>
      </c>
    </row>
    <row r="135" spans="1:4">
      <c r="A135" s="156" t="s">
        <v>488</v>
      </c>
      <c r="B135" s="135" t="s">
        <v>147</v>
      </c>
      <c r="C135" s="135" t="s">
        <v>161</v>
      </c>
      <c r="D135" s="204" t="s">
        <v>491</v>
      </c>
    </row>
    <row r="136" spans="1:4">
      <c r="A136" s="156" t="s">
        <v>490</v>
      </c>
      <c r="B136" s="135" t="s">
        <v>147</v>
      </c>
      <c r="C136" s="135" t="s">
        <v>147</v>
      </c>
      <c r="D136" s="204" t="s">
        <v>491</v>
      </c>
    </row>
    <row r="137" spans="1:4">
      <c r="A137" s="156" t="s">
        <v>483</v>
      </c>
      <c r="B137" s="135" t="s">
        <v>147</v>
      </c>
      <c r="C137" s="135" t="s">
        <v>155</v>
      </c>
      <c r="D137" s="204" t="s">
        <v>491</v>
      </c>
    </row>
    <row r="138" spans="1:4">
      <c r="A138" s="156" t="s">
        <v>365</v>
      </c>
      <c r="B138" s="135" t="s">
        <v>147</v>
      </c>
      <c r="C138" s="135" t="s">
        <v>151</v>
      </c>
      <c r="D138" s="204" t="s">
        <v>491</v>
      </c>
    </row>
    <row r="139" spans="1:4">
      <c r="A139" s="156" t="s">
        <v>406</v>
      </c>
      <c r="B139" s="135" t="s">
        <v>155</v>
      </c>
      <c r="C139" s="135" t="s">
        <v>253</v>
      </c>
      <c r="D139" s="204" t="s">
        <v>491</v>
      </c>
    </row>
    <row r="140" spans="1:4">
      <c r="A140" s="156" t="s">
        <v>410</v>
      </c>
      <c r="B140" s="135" t="s">
        <v>155</v>
      </c>
      <c r="C140" s="135" t="s">
        <v>156</v>
      </c>
      <c r="D140" s="204" t="s">
        <v>491</v>
      </c>
    </row>
    <row r="141" spans="1:4">
      <c r="A141" s="156" t="s">
        <v>411</v>
      </c>
      <c r="B141" s="135" t="s">
        <v>155</v>
      </c>
      <c r="C141" s="135" t="s">
        <v>254</v>
      </c>
      <c r="D141" s="204" t="s">
        <v>491</v>
      </c>
    </row>
    <row r="142" spans="1:4">
      <c r="A142" s="156" t="s">
        <v>407</v>
      </c>
      <c r="B142" s="135" t="s">
        <v>155</v>
      </c>
      <c r="C142" s="135" t="s">
        <v>153</v>
      </c>
      <c r="D142" s="204" t="s">
        <v>491</v>
      </c>
    </row>
    <row r="143" spans="1:4">
      <c r="A143" s="156" t="s">
        <v>408</v>
      </c>
      <c r="B143" s="135" t="s">
        <v>155</v>
      </c>
      <c r="C143" s="135" t="s">
        <v>162</v>
      </c>
      <c r="D143" s="208" t="s">
        <v>491</v>
      </c>
    </row>
    <row r="144" spans="1:4">
      <c r="A144" s="156" t="s">
        <v>413</v>
      </c>
      <c r="B144" s="135" t="s">
        <v>155</v>
      </c>
      <c r="C144" s="135" t="s">
        <v>160</v>
      </c>
      <c r="D144" s="204" t="s">
        <v>491</v>
      </c>
    </row>
    <row r="145" spans="1:4" ht="51">
      <c r="A145" s="156" t="str">
        <f>CONCATENATE(B145,C145)</f>
        <v>SerpienteJabalí</v>
      </c>
      <c r="B145" s="135" t="s">
        <v>155</v>
      </c>
      <c r="C145" s="135" t="s">
        <v>293</v>
      </c>
      <c r="D145" s="202" t="s">
        <v>294</v>
      </c>
    </row>
    <row r="146" spans="1:4">
      <c r="A146" s="156" t="s">
        <v>412</v>
      </c>
      <c r="B146" s="135" t="s">
        <v>155</v>
      </c>
      <c r="C146" s="135" t="s">
        <v>158</v>
      </c>
      <c r="D146" s="204" t="s">
        <v>491</v>
      </c>
    </row>
    <row r="147" spans="1:4">
      <c r="A147" s="156" t="s">
        <v>414</v>
      </c>
      <c r="B147" s="135" t="s">
        <v>155</v>
      </c>
      <c r="C147" s="135" t="s">
        <v>161</v>
      </c>
      <c r="D147" s="204" t="s">
        <v>491</v>
      </c>
    </row>
    <row r="148" spans="1:4">
      <c r="A148" s="156" t="s">
        <v>415</v>
      </c>
      <c r="B148" s="135" t="s">
        <v>155</v>
      </c>
      <c r="C148" s="135" t="s">
        <v>147</v>
      </c>
      <c r="D148" s="204" t="s">
        <v>491</v>
      </c>
    </row>
    <row r="149" spans="1:4">
      <c r="A149" s="156" t="s">
        <v>409</v>
      </c>
      <c r="B149" s="135" t="s">
        <v>155</v>
      </c>
      <c r="C149" s="135" t="s">
        <v>155</v>
      </c>
      <c r="D149" s="204" t="s">
        <v>491</v>
      </c>
    </row>
    <row r="150" spans="1:4">
      <c r="A150" s="156" t="s">
        <v>358</v>
      </c>
      <c r="B150" s="135" t="s">
        <v>155</v>
      </c>
      <c r="C150" s="135" t="s">
        <v>151</v>
      </c>
      <c r="D150" s="204" t="s">
        <v>491</v>
      </c>
    </row>
    <row r="151" spans="1:4">
      <c r="A151" s="156" t="s">
        <v>376</v>
      </c>
      <c r="B151" s="207" t="s">
        <v>151</v>
      </c>
      <c r="C151" s="135" t="s">
        <v>253</v>
      </c>
      <c r="D151" s="204" t="s">
        <v>491</v>
      </c>
    </row>
    <row r="152" spans="1:4">
      <c r="A152" s="156" t="s">
        <v>380</v>
      </c>
      <c r="B152" s="207" t="s">
        <v>151</v>
      </c>
      <c r="C152" s="135" t="s">
        <v>156</v>
      </c>
      <c r="D152" s="204" t="s">
        <v>491</v>
      </c>
    </row>
    <row r="153" spans="1:4">
      <c r="A153" s="156" t="s">
        <v>381</v>
      </c>
      <c r="B153" s="207" t="s">
        <v>151</v>
      </c>
      <c r="C153" s="135" t="s">
        <v>254</v>
      </c>
      <c r="D153" s="204" t="s">
        <v>491</v>
      </c>
    </row>
    <row r="154" spans="1:4">
      <c r="A154" s="156" t="s">
        <v>377</v>
      </c>
      <c r="B154" s="207" t="s">
        <v>151</v>
      </c>
      <c r="C154" s="135" t="s">
        <v>153</v>
      </c>
      <c r="D154" s="204" t="s">
        <v>491</v>
      </c>
    </row>
    <row r="155" spans="1:4">
      <c r="A155" s="156" t="s">
        <v>378</v>
      </c>
      <c r="B155" s="207" t="s">
        <v>151</v>
      </c>
      <c r="C155" s="135" t="s">
        <v>162</v>
      </c>
      <c r="D155" s="204" t="s">
        <v>491</v>
      </c>
    </row>
    <row r="156" spans="1:4">
      <c r="A156" s="156" t="s">
        <v>382</v>
      </c>
      <c r="B156" s="135" t="s">
        <v>151</v>
      </c>
      <c r="C156" s="135" t="s">
        <v>160</v>
      </c>
      <c r="D156" s="208" t="s">
        <v>491</v>
      </c>
    </row>
    <row r="157" spans="1:4">
      <c r="A157" s="156" t="s">
        <v>384</v>
      </c>
      <c r="B157" s="135" t="s">
        <v>151</v>
      </c>
      <c r="C157" s="135" t="s">
        <v>293</v>
      </c>
      <c r="D157" s="204" t="s">
        <v>491</v>
      </c>
    </row>
    <row r="158" spans="1:4" ht="51">
      <c r="A158" s="156" t="str">
        <f>CONCATENATE(B158,C158)</f>
        <v>TigreMono</v>
      </c>
      <c r="B158" s="135" t="s">
        <v>151</v>
      </c>
      <c r="C158" s="135" t="s">
        <v>158</v>
      </c>
      <c r="D158" s="202" t="s">
        <v>79</v>
      </c>
    </row>
    <row r="159" spans="1:4">
      <c r="A159" s="156" t="s">
        <v>383</v>
      </c>
      <c r="B159" s="135" t="s">
        <v>151</v>
      </c>
      <c r="C159" s="135" t="s">
        <v>161</v>
      </c>
      <c r="D159" s="204" t="s">
        <v>491</v>
      </c>
    </row>
    <row r="160" spans="1:4">
      <c r="A160" s="156" t="s">
        <v>385</v>
      </c>
      <c r="B160" s="135" t="s">
        <v>151</v>
      </c>
      <c r="C160" s="135" t="s">
        <v>147</v>
      </c>
      <c r="D160" s="204" t="s">
        <v>491</v>
      </c>
    </row>
    <row r="161" spans="1:4">
      <c r="A161" s="156" t="s">
        <v>379</v>
      </c>
      <c r="B161" s="207" t="s">
        <v>151</v>
      </c>
      <c r="C161" s="135" t="s">
        <v>155</v>
      </c>
      <c r="D161" s="204" t="s">
        <v>491</v>
      </c>
    </row>
    <row r="162" spans="1:4">
      <c r="A162" s="156" t="s">
        <v>355</v>
      </c>
      <c r="B162" s="207" t="s">
        <v>151</v>
      </c>
      <c r="C162" s="135" t="s">
        <v>151</v>
      </c>
      <c r="D162" s="204" t="s">
        <v>491</v>
      </c>
    </row>
    <row r="163" spans="1:4" ht="13.5" thickBot="1">
      <c r="A163" s="139"/>
      <c r="B163" s="139"/>
      <c r="C163" s="139"/>
      <c r="D163" s="140"/>
    </row>
    <row r="164" spans="1:4" ht="13.5" thickBot="1">
      <c r="A164" s="130"/>
      <c r="B164" s="130"/>
      <c r="C164" s="142" t="s">
        <v>345</v>
      </c>
      <c r="D164" s="148" t="s">
        <v>346</v>
      </c>
    </row>
    <row r="165" spans="1:4" ht="63.75">
      <c r="C165" s="141" t="s">
        <v>253</v>
      </c>
      <c r="D165" s="149" t="s">
        <v>342</v>
      </c>
    </row>
    <row r="166" spans="1:4" ht="63.75">
      <c r="C166" s="136" t="s">
        <v>156</v>
      </c>
      <c r="D166" s="150" t="s">
        <v>348</v>
      </c>
    </row>
    <row r="167" spans="1:4" ht="63.75">
      <c r="C167" s="136" t="s">
        <v>254</v>
      </c>
      <c r="D167" s="150" t="s">
        <v>246</v>
      </c>
    </row>
    <row r="168" spans="1:4" ht="25.5">
      <c r="C168" s="136" t="s">
        <v>293</v>
      </c>
      <c r="D168" s="150" t="s">
        <v>290</v>
      </c>
    </row>
    <row r="169" spans="1:4" ht="63.75">
      <c r="C169" s="136" t="s">
        <v>153</v>
      </c>
      <c r="D169" s="150" t="s">
        <v>247</v>
      </c>
    </row>
    <row r="170" spans="1:4" ht="63.75">
      <c r="C170" s="136" t="s">
        <v>162</v>
      </c>
      <c r="D170" s="150" t="s">
        <v>343</v>
      </c>
    </row>
    <row r="171" spans="1:4" ht="51">
      <c r="C171" s="136" t="s">
        <v>160</v>
      </c>
      <c r="D171" s="150" t="s">
        <v>288</v>
      </c>
    </row>
    <row r="172" spans="1:4" ht="63.75">
      <c r="C172" s="136" t="s">
        <v>158</v>
      </c>
      <c r="D172" s="150" t="s">
        <v>347</v>
      </c>
    </row>
    <row r="173" spans="1:4" ht="25.5">
      <c r="C173" s="136" t="s">
        <v>161</v>
      </c>
      <c r="D173" s="150" t="s">
        <v>289</v>
      </c>
    </row>
    <row r="174" spans="1:4" ht="63.75">
      <c r="C174" s="136" t="s">
        <v>147</v>
      </c>
      <c r="D174" s="150" t="s">
        <v>291</v>
      </c>
    </row>
    <row r="175" spans="1:4" ht="76.5">
      <c r="C175" s="136" t="s">
        <v>155</v>
      </c>
      <c r="D175" s="150" t="s">
        <v>344</v>
      </c>
    </row>
    <row r="176" spans="1:4" ht="64.5" thickBot="1">
      <c r="C176" s="137" t="s">
        <v>151</v>
      </c>
      <c r="D176" s="151" t="s">
        <v>248</v>
      </c>
    </row>
  </sheetData>
  <mergeCells count="5">
    <mergeCell ref="D17:D18"/>
    <mergeCell ref="A17:A18"/>
    <mergeCell ref="A2:B2"/>
    <mergeCell ref="C2:C3"/>
    <mergeCell ref="B17:C18"/>
  </mergeCells>
  <phoneticPr fontId="11" type="noConversion"/>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I1" workbookViewId="0">
      <selection activeCell="A7" sqref="A7"/>
    </sheetView>
  </sheetViews>
  <sheetFormatPr baseColWidth="10" defaultRowHeight="12.75"/>
  <cols>
    <col min="1" max="12" width="69.5703125" customWidth="1"/>
  </cols>
  <sheetData>
    <row r="1" spans="1:12" s="31" customFormat="1" ht="13.5" thickBot="1">
      <c r="A1" s="64" t="s">
        <v>147</v>
      </c>
      <c r="B1" s="64" t="s">
        <v>253</v>
      </c>
      <c r="C1" s="64" t="s">
        <v>151</v>
      </c>
      <c r="D1" s="64" t="s">
        <v>153</v>
      </c>
      <c r="E1" s="64" t="s">
        <v>162</v>
      </c>
      <c r="F1" s="64" t="s">
        <v>155</v>
      </c>
      <c r="G1" s="64" t="s">
        <v>156</v>
      </c>
      <c r="H1" s="64" t="s">
        <v>254</v>
      </c>
      <c r="I1" s="64" t="s">
        <v>158</v>
      </c>
      <c r="J1" s="64" t="s">
        <v>160</v>
      </c>
      <c r="K1" s="64" t="s">
        <v>161</v>
      </c>
      <c r="L1" s="64" t="s">
        <v>293</v>
      </c>
    </row>
    <row r="2" spans="1:12">
      <c r="A2" s="65"/>
      <c r="B2" s="65"/>
      <c r="C2" s="65"/>
      <c r="D2" s="65"/>
      <c r="E2" s="65"/>
      <c r="F2" s="65"/>
      <c r="G2" s="65"/>
      <c r="H2" s="65"/>
      <c r="I2" s="65"/>
      <c r="J2" s="65"/>
      <c r="K2" s="65"/>
      <c r="L2" s="65"/>
    </row>
    <row r="3" spans="1:12" ht="139.5" customHeight="1">
      <c r="A3" s="66" t="s">
        <v>8</v>
      </c>
      <c r="B3" s="66" t="s">
        <v>3</v>
      </c>
      <c r="C3" s="66" t="s">
        <v>507</v>
      </c>
      <c r="D3" s="66" t="s">
        <v>130</v>
      </c>
      <c r="E3" s="66" t="s">
        <v>193</v>
      </c>
      <c r="F3" s="66" t="s">
        <v>328</v>
      </c>
      <c r="G3" s="66" t="s">
        <v>352</v>
      </c>
      <c r="H3" s="66" t="s">
        <v>11</v>
      </c>
      <c r="I3" s="66" t="s">
        <v>199</v>
      </c>
      <c r="J3" s="305" t="s">
        <v>521</v>
      </c>
      <c r="K3" s="66" t="s">
        <v>223</v>
      </c>
      <c r="L3" s="66" t="s">
        <v>132</v>
      </c>
    </row>
    <row r="4" spans="1:12">
      <c r="A4" s="67"/>
      <c r="B4" s="67"/>
      <c r="C4" s="67"/>
      <c r="D4" s="67"/>
      <c r="E4" s="67"/>
      <c r="F4" s="67"/>
      <c r="G4" s="67"/>
      <c r="H4" s="67"/>
      <c r="I4" s="67"/>
      <c r="J4" s="67"/>
      <c r="K4" s="67"/>
      <c r="L4" s="67"/>
    </row>
    <row r="5" spans="1:12" ht="193.5" customHeight="1">
      <c r="A5" s="66" t="s">
        <v>311</v>
      </c>
      <c r="B5" s="66" t="s">
        <v>129</v>
      </c>
      <c r="C5" s="66" t="s">
        <v>222</v>
      </c>
      <c r="D5" s="66" t="s">
        <v>192</v>
      </c>
      <c r="E5" s="66" t="s">
        <v>126</v>
      </c>
      <c r="F5" s="66" t="s">
        <v>351</v>
      </c>
      <c r="G5" s="66" t="s">
        <v>75</v>
      </c>
      <c r="H5" s="66" t="s">
        <v>30</v>
      </c>
      <c r="I5" s="66" t="s">
        <v>31</v>
      </c>
      <c r="J5" s="66" t="s">
        <v>264</v>
      </c>
      <c r="K5" s="66" t="s">
        <v>233</v>
      </c>
      <c r="L5" s="66" t="s">
        <v>10</v>
      </c>
    </row>
    <row r="6" spans="1:12">
      <c r="A6" s="67"/>
      <c r="B6" s="67"/>
      <c r="C6" s="67"/>
      <c r="D6" s="67"/>
      <c r="E6" s="67"/>
      <c r="F6" s="67"/>
      <c r="G6" s="67"/>
      <c r="H6" s="67"/>
      <c r="I6" s="67"/>
      <c r="J6" s="67"/>
      <c r="K6" s="67"/>
      <c r="L6" s="67"/>
    </row>
    <row r="7" spans="1:12" ht="119.25" customHeight="1">
      <c r="A7" s="66" t="s">
        <v>127</v>
      </c>
      <c r="B7" s="66" t="s">
        <v>128</v>
      </c>
      <c r="C7" s="66" t="s">
        <v>349</v>
      </c>
      <c r="D7" s="66" t="s">
        <v>29</v>
      </c>
      <c r="E7" s="66" t="s">
        <v>28</v>
      </c>
      <c r="F7" s="66" t="s">
        <v>0</v>
      </c>
      <c r="G7" s="66" t="s">
        <v>350</v>
      </c>
      <c r="H7" s="66" t="s">
        <v>1</v>
      </c>
      <c r="I7" s="66" t="s">
        <v>18</v>
      </c>
      <c r="J7" s="305" t="s">
        <v>520</v>
      </c>
      <c r="K7" s="66" t="s">
        <v>234</v>
      </c>
      <c r="L7" s="66" t="s">
        <v>235</v>
      </c>
    </row>
    <row r="8" spans="1:12">
      <c r="A8" s="67"/>
      <c r="B8" s="67"/>
      <c r="C8" s="67"/>
      <c r="D8" s="67"/>
      <c r="E8" s="67"/>
      <c r="F8" s="67"/>
      <c r="G8" s="67"/>
      <c r="H8" s="67"/>
      <c r="I8" s="67"/>
      <c r="J8" s="67"/>
      <c r="K8" s="67"/>
      <c r="L8" s="67"/>
    </row>
    <row r="9" spans="1:12" s="35" customFormat="1" ht="14.25" customHeight="1">
      <c r="A9" s="69" t="s">
        <v>236</v>
      </c>
      <c r="B9" s="69" t="s">
        <v>2</v>
      </c>
      <c r="C9" s="69" t="s">
        <v>237</v>
      </c>
      <c r="D9" s="69" t="s">
        <v>238</v>
      </c>
      <c r="E9" s="69" t="s">
        <v>239</v>
      </c>
      <c r="F9" s="69" t="s">
        <v>240</v>
      </c>
      <c r="G9" s="69" t="s">
        <v>241</v>
      </c>
      <c r="H9" s="69" t="s">
        <v>242</v>
      </c>
      <c r="I9" s="69" t="s">
        <v>243</v>
      </c>
      <c r="J9" s="69" t="s">
        <v>244</v>
      </c>
      <c r="K9" s="69" t="s">
        <v>245</v>
      </c>
      <c r="L9" s="69" t="s">
        <v>131</v>
      </c>
    </row>
    <row r="10" spans="1:12">
      <c r="A10" s="67"/>
      <c r="B10" s="67"/>
      <c r="C10" s="67"/>
      <c r="D10" s="67"/>
      <c r="E10" s="67"/>
      <c r="F10" s="67"/>
      <c r="G10" s="67"/>
      <c r="H10" s="67"/>
      <c r="I10" s="67"/>
      <c r="J10" s="67"/>
      <c r="K10" s="67"/>
      <c r="L10" s="67"/>
    </row>
    <row r="11" spans="1:12" ht="132.75" customHeight="1">
      <c r="A11" s="66" t="s">
        <v>177</v>
      </c>
      <c r="B11" s="66" t="s">
        <v>178</v>
      </c>
      <c r="C11" s="66" t="s">
        <v>73</v>
      </c>
      <c r="D11" s="66" t="s">
        <v>74</v>
      </c>
      <c r="E11" s="66" t="s">
        <v>321</v>
      </c>
      <c r="F11" s="66" t="s">
        <v>322</v>
      </c>
      <c r="G11" s="66" t="s">
        <v>323</v>
      </c>
      <c r="H11" s="66" t="s">
        <v>324</v>
      </c>
      <c r="I11" s="66" t="s">
        <v>325</v>
      </c>
      <c r="J11" s="66" t="s">
        <v>326</v>
      </c>
      <c r="K11" s="66" t="s">
        <v>287</v>
      </c>
      <c r="L11" s="66" t="s">
        <v>88</v>
      </c>
    </row>
    <row r="12" spans="1:12" ht="13.5" thickBot="1">
      <c r="A12" s="68"/>
      <c r="B12" s="68"/>
      <c r="C12" s="68"/>
      <c r="D12" s="68"/>
      <c r="E12" s="68"/>
      <c r="F12" s="68"/>
      <c r="G12" s="68"/>
      <c r="H12" s="68"/>
      <c r="I12" s="68"/>
      <c r="J12" s="68"/>
      <c r="K12" s="68"/>
      <c r="L12" s="68"/>
    </row>
    <row r="13" spans="1:12">
      <c r="A13">
        <v>1</v>
      </c>
      <c r="B13">
        <v>2</v>
      </c>
      <c r="C13">
        <v>3</v>
      </c>
      <c r="D13">
        <v>4</v>
      </c>
      <c r="E13">
        <v>5</v>
      </c>
      <c r="F13">
        <v>6</v>
      </c>
      <c r="G13">
        <v>7</v>
      </c>
      <c r="H13">
        <v>8</v>
      </c>
      <c r="I13">
        <v>9</v>
      </c>
      <c r="J13">
        <v>10</v>
      </c>
      <c r="K13">
        <v>11</v>
      </c>
      <c r="L13">
        <v>12</v>
      </c>
    </row>
  </sheetData>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E2" sqref="E2"/>
    </sheetView>
  </sheetViews>
  <sheetFormatPr baseColWidth="10" defaultRowHeight="12.75"/>
  <cols>
    <col min="1" max="1" width="11.42578125" style="172"/>
    <col min="2" max="2" width="16.7109375" customWidth="1"/>
    <col min="3" max="3" width="17.28515625" customWidth="1"/>
  </cols>
  <sheetData>
    <row r="1" spans="1:3" s="31" customFormat="1" ht="13.5" thickBot="1">
      <c r="A1" s="224" t="s">
        <v>89</v>
      </c>
      <c r="B1" s="223" t="s">
        <v>503</v>
      </c>
      <c r="C1" s="222" t="s">
        <v>506</v>
      </c>
    </row>
    <row r="2" spans="1:3" ht="90" customHeight="1">
      <c r="A2" s="220" t="s">
        <v>493</v>
      </c>
      <c r="B2" s="221"/>
      <c r="C2" s="219"/>
    </row>
    <row r="3" spans="1:3" ht="90" customHeight="1">
      <c r="A3" s="211" t="s">
        <v>505</v>
      </c>
      <c r="B3" s="215"/>
      <c r="C3" s="217"/>
    </row>
    <row r="4" spans="1:3" ht="90" customHeight="1">
      <c r="A4" s="211" t="s">
        <v>494</v>
      </c>
      <c r="B4" s="215"/>
      <c r="C4" s="217"/>
    </row>
    <row r="5" spans="1:3" ht="90" customHeight="1">
      <c r="A5" s="211" t="s">
        <v>495</v>
      </c>
      <c r="B5" s="215"/>
      <c r="C5" s="217"/>
    </row>
    <row r="6" spans="1:3" ht="90" customHeight="1">
      <c r="A6" s="211" t="s">
        <v>496</v>
      </c>
      <c r="B6" s="215"/>
      <c r="C6" s="217"/>
    </row>
    <row r="7" spans="1:3" ht="90" customHeight="1">
      <c r="A7" s="211" t="s">
        <v>497</v>
      </c>
      <c r="B7" s="215"/>
      <c r="C7" s="217"/>
    </row>
    <row r="8" spans="1:3" ht="90" customHeight="1">
      <c r="A8" s="211" t="s">
        <v>498</v>
      </c>
      <c r="B8" s="215"/>
      <c r="C8" s="217"/>
    </row>
    <row r="9" spans="1:3" ht="90" customHeight="1">
      <c r="A9" s="211" t="s">
        <v>499</v>
      </c>
      <c r="B9" s="215"/>
      <c r="C9" s="217"/>
    </row>
    <row r="10" spans="1:3" ht="90" customHeight="1">
      <c r="A10" s="211" t="s">
        <v>500</v>
      </c>
      <c r="B10" s="215"/>
      <c r="C10" s="217"/>
    </row>
    <row r="11" spans="1:3" ht="90" customHeight="1">
      <c r="A11" s="211" t="s">
        <v>501</v>
      </c>
      <c r="B11" s="215"/>
      <c r="C11" s="217"/>
    </row>
    <row r="12" spans="1:3" ht="90" customHeight="1">
      <c r="A12" s="211" t="s">
        <v>502</v>
      </c>
      <c r="B12" s="215"/>
      <c r="C12" s="217"/>
    </row>
    <row r="13" spans="1:3" ht="90" customHeight="1" thickBot="1">
      <c r="A13" s="212" t="s">
        <v>504</v>
      </c>
      <c r="B13" s="216"/>
      <c r="C13" s="218"/>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8"/>
  <sheetViews>
    <sheetView zoomScaleNormal="100" workbookViewId="0">
      <selection activeCell="C4" sqref="C4:O4"/>
    </sheetView>
  </sheetViews>
  <sheetFormatPr baseColWidth="10" defaultRowHeight="12.75"/>
  <cols>
    <col min="1" max="1" width="8.140625" bestFit="1" customWidth="1"/>
    <col min="2" max="2" width="7.28515625" style="232" bestFit="1" customWidth="1"/>
    <col min="3" max="3" width="11.140625" style="233" bestFit="1" customWidth="1"/>
    <col min="4" max="4" width="17.28515625" style="234" customWidth="1"/>
    <col min="5" max="7" width="15.7109375" customWidth="1"/>
    <col min="8" max="8" width="11.5703125" bestFit="1" customWidth="1"/>
    <col min="16" max="18" width="15.7109375" style="6" customWidth="1"/>
    <col min="19" max="19" width="7.140625" bestFit="1" customWidth="1"/>
    <col min="20" max="45" width="3.7109375" customWidth="1"/>
  </cols>
  <sheetData>
    <row r="1" spans="1:19" s="235" customFormat="1" ht="42" customHeight="1" thickBot="1">
      <c r="A1" s="236" t="s">
        <v>515</v>
      </c>
      <c r="B1" s="237">
        <f ca="1">YEAR(TODAY())</f>
        <v>2022</v>
      </c>
      <c r="C1" s="238" t="s">
        <v>516</v>
      </c>
      <c r="D1" s="238" t="s">
        <v>517</v>
      </c>
      <c r="E1" s="239" t="s">
        <v>512</v>
      </c>
      <c r="F1" s="239" t="s">
        <v>513</v>
      </c>
      <c r="G1" s="239" t="s">
        <v>514</v>
      </c>
      <c r="H1" s="535" t="str">
        <f>CONCATENATE("BIORRITMO DE ",Ki!C4)</f>
        <v>BIORRITMO DE Roberto Zetina Peralta</v>
      </c>
      <c r="I1" s="535"/>
      <c r="J1" s="535"/>
      <c r="K1" s="535"/>
      <c r="L1" s="535"/>
      <c r="M1" s="535"/>
      <c r="N1" s="535"/>
      <c r="O1" s="536"/>
      <c r="P1" s="239" t="s">
        <v>512</v>
      </c>
      <c r="Q1" s="239" t="s">
        <v>513</v>
      </c>
      <c r="R1" s="239" t="s">
        <v>514</v>
      </c>
      <c r="S1" s="295" t="s">
        <v>518</v>
      </c>
    </row>
    <row r="2" spans="1:19">
      <c r="A2" s="537" t="s">
        <v>273</v>
      </c>
      <c r="B2" s="240">
        <v>1</v>
      </c>
      <c r="C2" s="241">
        <v>0</v>
      </c>
      <c r="D2" s="242">
        <f ca="1">+D368-I368</f>
        <v>27042</v>
      </c>
      <c r="E2" s="243">
        <f ca="1">SIN(2*PI()*$D2/21)</f>
        <v>-0.97492791218173125</v>
      </c>
      <c r="F2" s="244">
        <f ca="1">SIN(2*PI()*$D2/28)</f>
        <v>-0.97492791218179164</v>
      </c>
      <c r="G2" s="245">
        <f ca="1">SIN(2*PI()*$D2/33)</f>
        <v>0.28173255684128645</v>
      </c>
      <c r="H2" s="246"/>
      <c r="I2" s="246"/>
      <c r="J2" s="246"/>
      <c r="K2" s="246"/>
      <c r="L2" s="246"/>
      <c r="M2" s="246"/>
      <c r="N2" s="246"/>
      <c r="O2" s="246"/>
      <c r="P2" s="280"/>
      <c r="Q2" s="281"/>
      <c r="R2" s="290"/>
      <c r="S2" s="296" t="str">
        <f ca="1">IF(AND(E2&gt;0.6,F2&gt;0.6,G2&gt;0.6),"&lt;----OK",IF(AND(E2&lt;-0.6,F2&lt;-0.6,G2&lt;-0.6),"&lt;XXX&gt;"," "))</f>
        <v xml:space="preserve"> </v>
      </c>
    </row>
    <row r="3" spans="1:19">
      <c r="A3" s="538"/>
      <c r="B3" s="247">
        <v>2</v>
      </c>
      <c r="C3" s="248">
        <f>+C2+1</f>
        <v>1</v>
      </c>
      <c r="D3" s="249">
        <f ca="1">+$D$2+C3</f>
        <v>27043</v>
      </c>
      <c r="E3" s="250">
        <f t="shared" ref="E3:E66" ca="1" si="0">SIN(2*PI()*$D3/21)</f>
        <v>-0.99720379718123475</v>
      </c>
      <c r="F3" s="251">
        <f t="shared" ref="F3:F66" ca="1" si="1">SIN(2*PI()*$D3/28)</f>
        <v>-0.90096886790245934</v>
      </c>
      <c r="G3" s="252">
        <f t="shared" ref="G3:G66" ca="1" si="2">SIN(2*PI()*$D3/33)</f>
        <v>9.5056043304315899E-2</v>
      </c>
      <c r="H3" s="246"/>
      <c r="I3" s="246"/>
      <c r="J3" s="246"/>
      <c r="K3" s="246"/>
      <c r="L3" s="246"/>
      <c r="M3" s="246"/>
      <c r="N3" s="246"/>
      <c r="O3" s="246"/>
      <c r="P3" s="282"/>
      <c r="Q3" s="283"/>
      <c r="R3" s="291"/>
      <c r="S3" s="297" t="str">
        <f t="shared" ref="S3:S66" ca="1" si="3">IF(AND(E3&gt;0.6,F3&gt;0.6,G3&gt;0.6),"&lt;----OK",IF(AND(E3&lt;-0.6,F3&lt;-0.6,G3&lt;-0.6),"&lt;XXX&gt;"," "))</f>
        <v xml:space="preserve"> </v>
      </c>
    </row>
    <row r="4" spans="1:19">
      <c r="A4" s="538"/>
      <c r="B4" s="247">
        <v>3</v>
      </c>
      <c r="C4" s="248">
        <f t="shared" ref="C4:C67" si="4">+C3+1</f>
        <v>2</v>
      </c>
      <c r="D4" s="249">
        <f t="shared" ref="D4:D67" ca="1" si="5">+$D$2+C4</f>
        <v>27044</v>
      </c>
      <c r="E4" s="250">
        <f t="shared" ca="1" si="0"/>
        <v>-0.93087374864458605</v>
      </c>
      <c r="F4" s="251">
        <f t="shared" ca="1" si="1"/>
        <v>-0.78183148246823497</v>
      </c>
      <c r="G4" s="252">
        <f t="shared" ca="1" si="2"/>
        <v>-9.5056043303767573E-2</v>
      </c>
      <c r="H4" s="246"/>
      <c r="I4" s="246"/>
      <c r="J4" s="246"/>
      <c r="K4" s="246"/>
      <c r="L4" s="246"/>
      <c r="M4" s="246"/>
      <c r="N4" s="246"/>
      <c r="O4" s="246"/>
      <c r="P4" s="282"/>
      <c r="Q4" s="283"/>
      <c r="R4" s="291"/>
      <c r="S4" s="297" t="str">
        <f t="shared" ca="1" si="3"/>
        <v xml:space="preserve"> </v>
      </c>
    </row>
    <row r="5" spans="1:19">
      <c r="A5" s="538"/>
      <c r="B5" s="247">
        <v>4</v>
      </c>
      <c r="C5" s="248">
        <f t="shared" si="4"/>
        <v>3</v>
      </c>
      <c r="D5" s="249">
        <f t="shared" ca="1" si="5"/>
        <v>27045</v>
      </c>
      <c r="E5" s="250">
        <f t="shared" ca="1" si="0"/>
        <v>-0.78183148246831069</v>
      </c>
      <c r="F5" s="251">
        <f t="shared" ca="1" si="1"/>
        <v>-0.62348980185846448</v>
      </c>
      <c r="G5" s="252">
        <f t="shared" ca="1" si="2"/>
        <v>-0.28173255684163057</v>
      </c>
      <c r="H5" s="246"/>
      <c r="I5" s="246"/>
      <c r="J5" s="246"/>
      <c r="K5" s="246"/>
      <c r="L5" s="246"/>
      <c r="M5" s="246"/>
      <c r="N5" s="246"/>
      <c r="O5" s="246"/>
      <c r="P5" s="282"/>
      <c r="Q5" s="283"/>
      <c r="R5" s="291"/>
      <c r="S5" s="297" t="str">
        <f t="shared" ca="1" si="3"/>
        <v xml:space="preserve"> </v>
      </c>
    </row>
    <row r="6" spans="1:19">
      <c r="A6" s="538"/>
      <c r="B6" s="247">
        <v>5</v>
      </c>
      <c r="C6" s="248">
        <f t="shared" si="4"/>
        <v>4</v>
      </c>
      <c r="D6" s="249">
        <f t="shared" ca="1" si="5"/>
        <v>27046</v>
      </c>
      <c r="E6" s="250">
        <f t="shared" ca="1" si="0"/>
        <v>-0.56332005806425456</v>
      </c>
      <c r="F6" s="251">
        <f t="shared" ca="1" si="1"/>
        <v>-0.43388373911828032</v>
      </c>
      <c r="G6" s="252">
        <f t="shared" ca="1" si="2"/>
        <v>-0.45822652172734479</v>
      </c>
      <c r="H6" s="246"/>
      <c r="I6" s="246"/>
      <c r="J6" s="246"/>
      <c r="K6" s="246"/>
      <c r="L6" s="246"/>
      <c r="M6" s="246"/>
      <c r="N6" s="246"/>
      <c r="O6" s="246"/>
      <c r="P6" s="282"/>
      <c r="Q6" s="283"/>
      <c r="R6" s="291"/>
      <c r="S6" s="297" t="str">
        <f t="shared" ca="1" si="3"/>
        <v xml:space="preserve"> </v>
      </c>
    </row>
    <row r="7" spans="1:19">
      <c r="A7" s="538"/>
      <c r="B7" s="247">
        <v>6</v>
      </c>
      <c r="C7" s="248">
        <f t="shared" si="4"/>
        <v>5</v>
      </c>
      <c r="D7" s="249">
        <f t="shared" ca="1" si="5"/>
        <v>27047</v>
      </c>
      <c r="E7" s="250">
        <f t="shared" ca="1" si="0"/>
        <v>-0.29475517441019866</v>
      </c>
      <c r="F7" s="251">
        <f t="shared" ca="1" si="1"/>
        <v>-0.22252093395643952</v>
      </c>
      <c r="G7" s="252">
        <f t="shared" ca="1" si="2"/>
        <v>-0.6181589862210396</v>
      </c>
      <c r="H7" s="246"/>
      <c r="I7" s="246"/>
      <c r="J7" s="246"/>
      <c r="K7" s="246"/>
      <c r="L7" s="246"/>
      <c r="M7" s="246"/>
      <c r="N7" s="246"/>
      <c r="O7" s="246"/>
      <c r="P7" s="282"/>
      <c r="Q7" s="283"/>
      <c r="R7" s="291"/>
      <c r="S7" s="297" t="str">
        <f t="shared" ca="1" si="3"/>
        <v xml:space="preserve"> </v>
      </c>
    </row>
    <row r="8" spans="1:19">
      <c r="A8" s="538"/>
      <c r="B8" s="247">
        <v>7</v>
      </c>
      <c r="C8" s="248">
        <f t="shared" si="4"/>
        <v>6</v>
      </c>
      <c r="D8" s="249">
        <f t="shared" ca="1" si="5"/>
        <v>27048</v>
      </c>
      <c r="E8" s="250">
        <f t="shared" ca="1" si="0"/>
        <v>-4.8612849856688456E-13</v>
      </c>
      <c r="F8" s="251">
        <f t="shared" ca="1" si="1"/>
        <v>-3.6459637392516342E-13</v>
      </c>
      <c r="G8" s="252">
        <f t="shared" ca="1" si="2"/>
        <v>-0.75574957435443468</v>
      </c>
      <c r="H8" s="246"/>
      <c r="I8" s="246"/>
      <c r="J8" s="246"/>
      <c r="K8" s="246"/>
      <c r="L8" s="246"/>
      <c r="M8" s="246"/>
      <c r="N8" s="246"/>
      <c r="O8" s="246"/>
      <c r="P8" s="282"/>
      <c r="Q8" s="283"/>
      <c r="R8" s="291"/>
      <c r="S8" s="297" t="str">
        <f t="shared" ca="1" si="3"/>
        <v xml:space="preserve"> </v>
      </c>
    </row>
    <row r="9" spans="1:19">
      <c r="A9" s="538"/>
      <c r="B9" s="247">
        <v>8</v>
      </c>
      <c r="C9" s="248">
        <f t="shared" si="4"/>
        <v>7</v>
      </c>
      <c r="D9" s="249">
        <f t="shared" ca="1" si="5"/>
        <v>27049</v>
      </c>
      <c r="E9" s="250">
        <f t="shared" ca="1" si="0"/>
        <v>0.29475517441013865</v>
      </c>
      <c r="F9" s="251">
        <f t="shared" ca="1" si="1"/>
        <v>0.22252093395572861</v>
      </c>
      <c r="G9" s="252">
        <f t="shared" ca="1" si="2"/>
        <v>-0.86602540378443182</v>
      </c>
      <c r="H9" s="246"/>
      <c r="I9" s="246"/>
      <c r="J9" s="246"/>
      <c r="K9" s="246"/>
      <c r="L9" s="246"/>
      <c r="M9" s="246"/>
      <c r="N9" s="246"/>
      <c r="O9" s="246"/>
      <c r="P9" s="282"/>
      <c r="Q9" s="283"/>
      <c r="R9" s="291"/>
      <c r="S9" s="297" t="str">
        <f t="shared" ca="1" si="3"/>
        <v xml:space="preserve"> </v>
      </c>
    </row>
    <row r="10" spans="1:19">
      <c r="A10" s="538"/>
      <c r="B10" s="247">
        <v>9</v>
      </c>
      <c r="C10" s="248">
        <f t="shared" si="4"/>
        <v>8</v>
      </c>
      <c r="D10" s="249">
        <f t="shared" ca="1" si="5"/>
        <v>27050</v>
      </c>
      <c r="E10" s="250">
        <f t="shared" ca="1" si="0"/>
        <v>0.56332005806420271</v>
      </c>
      <c r="F10" s="251">
        <f t="shared" ca="1" si="1"/>
        <v>0.43388373911762335</v>
      </c>
      <c r="G10" s="252">
        <f t="shared" ca="1" si="2"/>
        <v>-0.94500081871486885</v>
      </c>
      <c r="H10" s="246"/>
      <c r="I10" s="246"/>
      <c r="J10" s="246"/>
      <c r="K10" s="246"/>
      <c r="L10" s="246"/>
      <c r="M10" s="246"/>
      <c r="N10" s="246"/>
      <c r="O10" s="246"/>
      <c r="P10" s="282"/>
      <c r="Q10" s="283"/>
      <c r="R10" s="291"/>
      <c r="S10" s="297" t="str">
        <f t="shared" ca="1" si="3"/>
        <v xml:space="preserve"> </v>
      </c>
    </row>
    <row r="11" spans="1:19">
      <c r="A11" s="538"/>
      <c r="B11" s="247">
        <v>10</v>
      </c>
      <c r="C11" s="248">
        <f t="shared" si="4"/>
        <v>9</v>
      </c>
      <c r="D11" s="249">
        <f t="shared" ca="1" si="5"/>
        <v>27051</v>
      </c>
      <c r="E11" s="250">
        <f t="shared" ca="1" si="0"/>
        <v>0.78183148246770451</v>
      </c>
      <c r="F11" s="251">
        <f t="shared" ca="1" si="1"/>
        <v>0.62348980185860536</v>
      </c>
      <c r="G11" s="252">
        <f t="shared" ca="1" si="2"/>
        <v>-0.98982144188085019</v>
      </c>
      <c r="H11" s="246"/>
      <c r="I11" s="246"/>
      <c r="J11" s="246"/>
      <c r="K11" s="246"/>
      <c r="L11" s="246"/>
      <c r="M11" s="246"/>
      <c r="N11" s="246"/>
      <c r="O11" s="246"/>
      <c r="P11" s="282"/>
      <c r="Q11" s="283"/>
      <c r="R11" s="291"/>
      <c r="S11" s="297" t="str">
        <f t="shared" ca="1" si="3"/>
        <v xml:space="preserve"> </v>
      </c>
    </row>
    <row r="12" spans="1:19">
      <c r="A12" s="538"/>
      <c r="B12" s="247">
        <v>11</v>
      </c>
      <c r="C12" s="248">
        <f t="shared" si="4"/>
        <v>10</v>
      </c>
      <c r="D12" s="249">
        <f t="shared" ca="1" si="5"/>
        <v>27052</v>
      </c>
      <c r="E12" s="250">
        <f t="shared" ca="1" si="0"/>
        <v>0.9308737486438986</v>
      </c>
      <c r="F12" s="251">
        <f t="shared" ca="1" si="1"/>
        <v>0.78183148246778034</v>
      </c>
      <c r="G12" s="252">
        <f t="shared" ca="1" si="2"/>
        <v>-0.99886733918304904</v>
      </c>
      <c r="H12" s="246"/>
      <c r="I12" s="246"/>
      <c r="J12" s="246"/>
      <c r="K12" s="246"/>
      <c r="L12" s="246"/>
      <c r="M12" s="246"/>
      <c r="N12" s="246"/>
      <c r="O12" s="246"/>
      <c r="P12" s="282"/>
      <c r="Q12" s="283"/>
      <c r="R12" s="291"/>
      <c r="S12" s="297" t="str">
        <f t="shared" ca="1" si="3"/>
        <v xml:space="preserve"> </v>
      </c>
    </row>
    <row r="13" spans="1:19">
      <c r="A13" s="538"/>
      <c r="B13" s="247">
        <v>12</v>
      </c>
      <c r="C13" s="248">
        <f t="shared" si="4"/>
        <v>11</v>
      </c>
      <c r="D13" s="249">
        <f t="shared" ca="1" si="5"/>
        <v>27053</v>
      </c>
      <c r="E13" s="250">
        <f t="shared" ca="1" si="0"/>
        <v>0.99720379718116203</v>
      </c>
      <c r="F13" s="251">
        <f t="shared" ca="1" si="1"/>
        <v>0.90096886790253761</v>
      </c>
      <c r="G13" s="252">
        <f t="shared" ca="1" si="2"/>
        <v>-0.9718115683235975</v>
      </c>
      <c r="H13" s="246"/>
      <c r="I13" s="246"/>
      <c r="J13" s="246"/>
      <c r="K13" s="246"/>
      <c r="L13" s="246"/>
      <c r="M13" s="246"/>
      <c r="N13" s="246"/>
      <c r="O13" s="246"/>
      <c r="P13" s="282"/>
      <c r="Q13" s="283"/>
      <c r="R13" s="291"/>
      <c r="S13" s="297" t="str">
        <f t="shared" ca="1" si="3"/>
        <v xml:space="preserve"> </v>
      </c>
    </row>
    <row r="14" spans="1:19">
      <c r="A14" s="538"/>
      <c r="B14" s="247">
        <v>13</v>
      </c>
      <c r="C14" s="248">
        <f t="shared" si="4"/>
        <v>12</v>
      </c>
      <c r="D14" s="249">
        <f t="shared" ca="1" si="5"/>
        <v>27054</v>
      </c>
      <c r="E14" s="250">
        <f t="shared" ca="1" si="0"/>
        <v>0.97492791218194763</v>
      </c>
      <c r="F14" s="251">
        <f t="shared" ca="1" si="1"/>
        <v>0.97492791218183183</v>
      </c>
      <c r="G14" s="252">
        <f t="shared" ca="1" si="2"/>
        <v>-0.90963199535473438</v>
      </c>
      <c r="H14" s="246"/>
      <c r="I14" s="246"/>
      <c r="J14" s="246"/>
      <c r="K14" s="246"/>
      <c r="L14" s="246"/>
      <c r="M14" s="246"/>
      <c r="N14" s="246"/>
      <c r="O14" s="246"/>
      <c r="P14" s="282"/>
      <c r="Q14" s="283"/>
      <c r="R14" s="291"/>
      <c r="S14" s="297" t="str">
        <f t="shared" ca="1" si="3"/>
        <v xml:space="preserve"> </v>
      </c>
    </row>
    <row r="15" spans="1:19">
      <c r="A15" s="538"/>
      <c r="B15" s="247">
        <v>14</v>
      </c>
      <c r="C15" s="248">
        <f t="shared" si="4"/>
        <v>13</v>
      </c>
      <c r="D15" s="249">
        <f t="shared" ca="1" si="5"/>
        <v>27055</v>
      </c>
      <c r="E15" s="250">
        <f t="shared" ca="1" si="0"/>
        <v>0.8660254037848748</v>
      </c>
      <c r="F15" s="251">
        <f t="shared" ca="1" si="1"/>
        <v>1</v>
      </c>
      <c r="G15" s="252">
        <f t="shared" ca="1" si="2"/>
        <v>-0.81457595205080158</v>
      </c>
      <c r="H15" s="246"/>
      <c r="I15" s="246"/>
      <c r="J15" s="246"/>
      <c r="K15" s="246"/>
      <c r="L15" s="246"/>
      <c r="M15" s="246"/>
      <c r="N15" s="246"/>
      <c r="O15" s="246"/>
      <c r="P15" s="282"/>
      <c r="Q15" s="283"/>
      <c r="R15" s="291"/>
      <c r="S15" s="297" t="str">
        <f t="shared" ca="1" si="3"/>
        <v xml:space="preserve"> </v>
      </c>
    </row>
    <row r="16" spans="1:19">
      <c r="A16" s="538"/>
      <c r="B16" s="247">
        <v>15</v>
      </c>
      <c r="C16" s="248">
        <f t="shared" si="4"/>
        <v>14</v>
      </c>
      <c r="D16" s="249">
        <f t="shared" ca="1" si="5"/>
        <v>27056</v>
      </c>
      <c r="E16" s="250">
        <f t="shared" ca="1" si="0"/>
        <v>0.68017273777112308</v>
      </c>
      <c r="F16" s="251">
        <f t="shared" ca="1" si="1"/>
        <v>0.97492791218171815</v>
      </c>
      <c r="G16" s="252">
        <f t="shared" ca="1" si="2"/>
        <v>-0.69007901148223993</v>
      </c>
      <c r="H16" s="246"/>
      <c r="I16" s="246"/>
      <c r="J16" s="246"/>
      <c r="K16" s="246"/>
      <c r="L16" s="246"/>
      <c r="M16" s="246"/>
      <c r="N16" s="246"/>
      <c r="O16" s="246"/>
      <c r="P16" s="282"/>
      <c r="Q16" s="283"/>
      <c r="R16" s="291"/>
      <c r="S16" s="297" t="str">
        <f t="shared" ca="1" si="3"/>
        <v xml:space="preserve"> </v>
      </c>
    </row>
    <row r="17" spans="1:19">
      <c r="A17" s="538"/>
      <c r="B17" s="247">
        <v>16</v>
      </c>
      <c r="C17" s="248">
        <f t="shared" si="4"/>
        <v>15</v>
      </c>
      <c r="D17" s="249">
        <f t="shared" ca="1" si="5"/>
        <v>27057</v>
      </c>
      <c r="E17" s="250">
        <f t="shared" ca="1" si="0"/>
        <v>0.43388373911809225</v>
      </c>
      <c r="F17" s="251">
        <f t="shared" ca="1" si="1"/>
        <v>0.90096886790271069</v>
      </c>
      <c r="G17" s="252">
        <f t="shared" ca="1" si="2"/>
        <v>-0.54064081745598447</v>
      </c>
      <c r="H17" s="246"/>
      <c r="I17" s="246"/>
      <c r="J17" s="246"/>
      <c r="K17" s="246"/>
      <c r="L17" s="246"/>
      <c r="M17" s="246"/>
      <c r="N17" s="246"/>
      <c r="O17" s="246"/>
      <c r="P17" s="282"/>
      <c r="Q17" s="283"/>
      <c r="R17" s="291"/>
      <c r="S17" s="297" t="str">
        <f t="shared" ca="1" si="3"/>
        <v xml:space="preserve"> </v>
      </c>
    </row>
    <row r="18" spans="1:19">
      <c r="A18" s="538"/>
      <c r="B18" s="247">
        <v>17</v>
      </c>
      <c r="C18" s="248">
        <f t="shared" si="4"/>
        <v>16</v>
      </c>
      <c r="D18" s="249">
        <f t="shared" ca="1" si="5"/>
        <v>27058</v>
      </c>
      <c r="E18" s="250">
        <f t="shared" ca="1" si="0"/>
        <v>0.14904226617707214</v>
      </c>
      <c r="F18" s="251">
        <f t="shared" ca="1" si="1"/>
        <v>0.78183148246859613</v>
      </c>
      <c r="G18" s="252">
        <f t="shared" ca="1" si="2"/>
        <v>-0.37166245566101735</v>
      </c>
      <c r="H18" s="246"/>
      <c r="I18" s="246"/>
      <c r="J18" s="246"/>
      <c r="K18" s="246"/>
      <c r="L18" s="246"/>
      <c r="M18" s="246"/>
      <c r="N18" s="246"/>
      <c r="O18" s="246"/>
      <c r="P18" s="282"/>
      <c r="Q18" s="283"/>
      <c r="R18" s="291"/>
      <c r="S18" s="297" t="str">
        <f t="shared" ca="1" si="3"/>
        <v xml:space="preserve"> </v>
      </c>
    </row>
    <row r="19" spans="1:19">
      <c r="A19" s="538"/>
      <c r="B19" s="247">
        <v>18</v>
      </c>
      <c r="C19" s="248">
        <f t="shared" si="4"/>
        <v>17</v>
      </c>
      <c r="D19" s="249">
        <f t="shared" ca="1" si="5"/>
        <v>27059</v>
      </c>
      <c r="E19" s="250">
        <f t="shared" ca="1" si="0"/>
        <v>-0.14904226617586458</v>
      </c>
      <c r="F19" s="251">
        <f t="shared" ca="1" si="1"/>
        <v>0.62348980185891723</v>
      </c>
      <c r="G19" s="252">
        <f t="shared" ca="1" si="2"/>
        <v>-0.18925124436052482</v>
      </c>
      <c r="H19" s="246"/>
      <c r="I19" s="246"/>
      <c r="J19" s="246"/>
      <c r="K19" s="246"/>
      <c r="L19" s="246"/>
      <c r="M19" s="246"/>
      <c r="N19" s="246"/>
      <c r="O19" s="246"/>
      <c r="P19" s="282"/>
      <c r="Q19" s="283"/>
      <c r="R19" s="291"/>
      <c r="S19" s="297" t="str">
        <f t="shared" ca="1" si="3"/>
        <v xml:space="preserve"> </v>
      </c>
    </row>
    <row r="20" spans="1:19">
      <c r="A20" s="538"/>
      <c r="B20" s="247">
        <v>19</v>
      </c>
      <c r="C20" s="248">
        <f t="shared" si="4"/>
        <v>18</v>
      </c>
      <c r="D20" s="249">
        <f t="shared" ca="1" si="5"/>
        <v>27060</v>
      </c>
      <c r="E20" s="250">
        <f t="shared" ca="1" si="0"/>
        <v>-0.43388373911699196</v>
      </c>
      <c r="F20" s="251">
        <f t="shared" ca="1" si="1"/>
        <v>0.43388373911798273</v>
      </c>
      <c r="G20" s="252">
        <f t="shared" ca="1" si="2"/>
        <v>-3.9987631261784173E-13</v>
      </c>
      <c r="H20" s="246"/>
      <c r="I20" s="246"/>
      <c r="J20" s="246"/>
      <c r="K20" s="246"/>
      <c r="L20" s="246"/>
      <c r="M20" s="246"/>
      <c r="N20" s="246"/>
      <c r="O20" s="246"/>
      <c r="P20" s="282"/>
      <c r="Q20" s="283"/>
      <c r="R20" s="291"/>
      <c r="S20" s="297" t="str">
        <f t="shared" ca="1" si="3"/>
        <v xml:space="preserve"> </v>
      </c>
    </row>
    <row r="21" spans="1:19">
      <c r="A21" s="538"/>
      <c r="B21" s="247">
        <v>20</v>
      </c>
      <c r="C21" s="248">
        <f t="shared" si="4"/>
        <v>19</v>
      </c>
      <c r="D21" s="249">
        <f t="shared" ca="1" si="5"/>
        <v>27061</v>
      </c>
      <c r="E21" s="250">
        <f t="shared" ca="1" si="0"/>
        <v>-0.6801727377702278</v>
      </c>
      <c r="F21" s="251">
        <f t="shared" ca="1" si="1"/>
        <v>0.2225209339570042</v>
      </c>
      <c r="G21" s="252">
        <f t="shared" ca="1" si="2"/>
        <v>0.18925124435973953</v>
      </c>
      <c r="H21" s="246"/>
      <c r="I21" s="246"/>
      <c r="J21" s="246"/>
      <c r="K21" s="246"/>
      <c r="L21" s="246"/>
      <c r="M21" s="246"/>
      <c r="N21" s="246"/>
      <c r="O21" s="246"/>
      <c r="P21" s="282"/>
      <c r="Q21" s="283"/>
      <c r="R21" s="291"/>
      <c r="S21" s="297" t="str">
        <f t="shared" ca="1" si="3"/>
        <v xml:space="preserve"> </v>
      </c>
    </row>
    <row r="22" spans="1:19">
      <c r="A22" s="538"/>
      <c r="B22" s="247">
        <v>21</v>
      </c>
      <c r="C22" s="248">
        <f t="shared" si="4"/>
        <v>20</v>
      </c>
      <c r="D22" s="249">
        <f t="shared" ca="1" si="5"/>
        <v>27062</v>
      </c>
      <c r="E22" s="250">
        <f t="shared" ca="1" si="0"/>
        <v>-0.86602540378426418</v>
      </c>
      <c r="F22" s="251">
        <f t="shared" ca="1" si="1"/>
        <v>3.4316516642207695E-14</v>
      </c>
      <c r="G22" s="252">
        <f t="shared" ca="1" si="2"/>
        <v>0.37166245566027489</v>
      </c>
      <c r="H22" s="246"/>
      <c r="I22" s="246"/>
      <c r="J22" s="246"/>
      <c r="K22" s="246"/>
      <c r="L22" s="246"/>
      <c r="M22" s="246"/>
      <c r="N22" s="246"/>
      <c r="O22" s="246"/>
      <c r="P22" s="282"/>
      <c r="Q22" s="283"/>
      <c r="R22" s="291"/>
      <c r="S22" s="297" t="str">
        <f t="shared" ca="1" si="3"/>
        <v xml:space="preserve"> </v>
      </c>
    </row>
    <row r="23" spans="1:19">
      <c r="A23" s="538"/>
      <c r="B23" s="247">
        <v>22</v>
      </c>
      <c r="C23" s="248">
        <f t="shared" si="4"/>
        <v>21</v>
      </c>
      <c r="D23" s="249">
        <f t="shared" ca="1" si="5"/>
        <v>27063</v>
      </c>
      <c r="E23" s="250">
        <f t="shared" ca="1" si="0"/>
        <v>-0.97492791218167585</v>
      </c>
      <c r="F23" s="251">
        <f t="shared" ca="1" si="1"/>
        <v>-0.2225209339560506</v>
      </c>
      <c r="G23" s="252">
        <f t="shared" ca="1" si="2"/>
        <v>0.54064081745531167</v>
      </c>
      <c r="H23" s="246"/>
      <c r="I23" s="246"/>
      <c r="J23" s="246"/>
      <c r="K23" s="246"/>
      <c r="L23" s="246"/>
      <c r="M23" s="246"/>
      <c r="N23" s="246"/>
      <c r="O23" s="246"/>
      <c r="P23" s="282"/>
      <c r="Q23" s="283"/>
      <c r="R23" s="291"/>
      <c r="S23" s="297" t="str">
        <f t="shared" ca="1" si="3"/>
        <v xml:space="preserve"> </v>
      </c>
    </row>
    <row r="24" spans="1:19">
      <c r="A24" s="538"/>
      <c r="B24" s="247">
        <v>23</v>
      </c>
      <c r="C24" s="248">
        <f t="shared" si="4"/>
        <v>22</v>
      </c>
      <c r="D24" s="249">
        <f t="shared" ca="1" si="5"/>
        <v>27064</v>
      </c>
      <c r="E24" s="250">
        <f t="shared" ca="1" si="0"/>
        <v>-0.99720379718118535</v>
      </c>
      <c r="F24" s="251">
        <f t="shared" ca="1" si="1"/>
        <v>-0.43388373911792089</v>
      </c>
      <c r="G24" s="252">
        <f t="shared" ca="1" si="2"/>
        <v>0.69007901148231932</v>
      </c>
      <c r="H24" s="246"/>
      <c r="I24" s="246"/>
      <c r="J24" s="246"/>
      <c r="K24" s="246"/>
      <c r="L24" s="246"/>
      <c r="M24" s="246"/>
      <c r="N24" s="246"/>
      <c r="O24" s="246"/>
      <c r="P24" s="282"/>
      <c r="Q24" s="283"/>
      <c r="R24" s="291"/>
      <c r="S24" s="297" t="str">
        <f t="shared" ca="1" si="3"/>
        <v xml:space="preserve"> </v>
      </c>
    </row>
    <row r="25" spans="1:19">
      <c r="A25" s="538"/>
      <c r="B25" s="247">
        <v>24</v>
      </c>
      <c r="C25" s="248">
        <f t="shared" si="4"/>
        <v>23</v>
      </c>
      <c r="D25" s="249">
        <f t="shared" ca="1" si="5"/>
        <v>27065</v>
      </c>
      <c r="E25" s="250">
        <f t="shared" ca="1" si="0"/>
        <v>-0.93087374864434469</v>
      </c>
      <c r="F25" s="251">
        <f t="shared" ca="1" si="1"/>
        <v>-0.6234898018588636</v>
      </c>
      <c r="G25" s="252">
        <f t="shared" ca="1" si="2"/>
        <v>0.81457595205033761</v>
      </c>
      <c r="H25" s="246"/>
      <c r="I25" s="246"/>
      <c r="J25" s="246"/>
      <c r="K25" s="246"/>
      <c r="L25" s="246"/>
      <c r="M25" s="246"/>
      <c r="N25" s="246"/>
      <c r="O25" s="246"/>
      <c r="P25" s="282"/>
      <c r="Q25" s="283"/>
      <c r="R25" s="291"/>
      <c r="S25" s="297" t="str">
        <f t="shared" ca="1" si="3"/>
        <v xml:space="preserve"> </v>
      </c>
    </row>
    <row r="26" spans="1:19">
      <c r="A26" s="538"/>
      <c r="B26" s="247">
        <v>25</v>
      </c>
      <c r="C26" s="248">
        <f t="shared" si="4"/>
        <v>24</v>
      </c>
      <c r="D26" s="249">
        <f t="shared" ca="1" si="5"/>
        <v>27066</v>
      </c>
      <c r="E26" s="250">
        <f t="shared" ca="1" si="0"/>
        <v>-0.7818314824684659</v>
      </c>
      <c r="F26" s="251">
        <f t="shared" ca="1" si="1"/>
        <v>-0.78183148246798628</v>
      </c>
      <c r="G26" s="252">
        <f t="shared" ca="1" si="2"/>
        <v>0.9096319953544022</v>
      </c>
      <c r="H26" s="246"/>
      <c r="I26" s="246"/>
      <c r="J26" s="246"/>
      <c r="K26" s="246"/>
      <c r="L26" s="246"/>
      <c r="M26" s="246"/>
      <c r="N26" s="246"/>
      <c r="O26" s="246"/>
      <c r="P26" s="282"/>
      <c r="Q26" s="283"/>
      <c r="R26" s="291"/>
      <c r="S26" s="297" t="str">
        <f t="shared" ca="1" si="3"/>
        <v xml:space="preserve"> </v>
      </c>
    </row>
    <row r="27" spans="1:19">
      <c r="A27" s="538"/>
      <c r="B27" s="247">
        <v>26</v>
      </c>
      <c r="C27" s="248">
        <f t="shared" si="4"/>
        <v>25</v>
      </c>
      <c r="D27" s="249">
        <f t="shared" ca="1" si="5"/>
        <v>27067</v>
      </c>
      <c r="E27" s="250">
        <f t="shared" ca="1" si="0"/>
        <v>-0.56332005806370877</v>
      </c>
      <c r="F27" s="251">
        <f t="shared" ca="1" si="1"/>
        <v>-0.90096886790268094</v>
      </c>
      <c r="G27" s="252">
        <f t="shared" ca="1" si="2"/>
        <v>0.97181156832362336</v>
      </c>
      <c r="H27" s="246"/>
      <c r="I27" s="246"/>
      <c r="J27" s="246"/>
      <c r="K27" s="246"/>
      <c r="L27" s="246"/>
      <c r="M27" s="246"/>
      <c r="N27" s="246"/>
      <c r="O27" s="246"/>
      <c r="P27" s="282"/>
      <c r="Q27" s="283"/>
      <c r="R27" s="291"/>
      <c r="S27" s="297" t="str">
        <f t="shared" ca="1" si="3"/>
        <v xml:space="preserve"> </v>
      </c>
    </row>
    <row r="28" spans="1:19">
      <c r="A28" s="538"/>
      <c r="B28" s="247">
        <v>27</v>
      </c>
      <c r="C28" s="248">
        <f t="shared" si="4"/>
        <v>26</v>
      </c>
      <c r="D28" s="249">
        <f t="shared" ca="1" si="5"/>
        <v>27068</v>
      </c>
      <c r="E28" s="250">
        <f t="shared" ca="1" si="0"/>
        <v>-0.29475517441130561</v>
      </c>
      <c r="F28" s="251">
        <f t="shared" ca="1" si="1"/>
        <v>-0.97492791218170294</v>
      </c>
      <c r="G28" s="252">
        <f t="shared" ca="1" si="2"/>
        <v>0.99886733918301096</v>
      </c>
      <c r="H28" s="246"/>
      <c r="I28" s="246"/>
      <c r="J28" s="246"/>
      <c r="K28" s="246"/>
      <c r="L28" s="246"/>
      <c r="M28" s="246"/>
      <c r="N28" s="246"/>
      <c r="O28" s="246"/>
      <c r="P28" s="282"/>
      <c r="Q28" s="283"/>
      <c r="R28" s="291"/>
      <c r="S28" s="297" t="str">
        <f t="shared" ca="1" si="3"/>
        <v xml:space="preserve"> </v>
      </c>
    </row>
    <row r="29" spans="1:19">
      <c r="A29" s="538"/>
      <c r="B29" s="247">
        <v>28</v>
      </c>
      <c r="C29" s="248">
        <f t="shared" si="4"/>
        <v>27</v>
      </c>
      <c r="D29" s="249">
        <f t="shared" ca="1" si="5"/>
        <v>27069</v>
      </c>
      <c r="E29" s="250">
        <f t="shared" ca="1" si="0"/>
        <v>-7.3506348577390135E-13</v>
      </c>
      <c r="F29" s="251">
        <f t="shared" ca="1" si="1"/>
        <v>-1</v>
      </c>
      <c r="G29" s="252">
        <f t="shared" ca="1" si="2"/>
        <v>0.98982144188096399</v>
      </c>
      <c r="H29" s="246"/>
      <c r="I29" s="246"/>
      <c r="J29" s="246"/>
      <c r="K29" s="246"/>
      <c r="L29" s="246"/>
      <c r="M29" s="246"/>
      <c r="N29" s="246"/>
      <c r="O29" s="246"/>
      <c r="P29" s="282"/>
      <c r="Q29" s="283"/>
      <c r="R29" s="291"/>
      <c r="S29" s="297" t="str">
        <f t="shared" ca="1" si="3"/>
        <v xml:space="preserve"> </v>
      </c>
    </row>
    <row r="30" spans="1:19">
      <c r="A30" s="538"/>
      <c r="B30" s="247">
        <v>29</v>
      </c>
      <c r="C30" s="248">
        <f t="shared" si="4"/>
        <v>28</v>
      </c>
      <c r="D30" s="249">
        <f t="shared" ca="1" si="5"/>
        <v>27070</v>
      </c>
      <c r="E30" s="250">
        <f t="shared" ca="1" si="0"/>
        <v>0.29475517441076987</v>
      </c>
      <c r="F30" s="251">
        <f t="shared" ca="1" si="1"/>
        <v>-0.97492791218184705</v>
      </c>
      <c r="G30" s="252">
        <f t="shared" ca="1" si="2"/>
        <v>0.94500081871453545</v>
      </c>
      <c r="H30" s="246"/>
      <c r="I30" s="246"/>
      <c r="J30" s="246"/>
      <c r="K30" s="246"/>
      <c r="L30" s="246"/>
      <c r="M30" s="246"/>
      <c r="N30" s="246"/>
      <c r="O30" s="246"/>
      <c r="P30" s="282"/>
      <c r="Q30" s="283"/>
      <c r="R30" s="291"/>
      <c r="S30" s="297" t="str">
        <f t="shared" ca="1" si="3"/>
        <v xml:space="preserve"> </v>
      </c>
    </row>
    <row r="31" spans="1:19">
      <c r="A31" s="538"/>
      <c r="B31" s="247">
        <v>30</v>
      </c>
      <c r="C31" s="248">
        <f t="shared" si="4"/>
        <v>29</v>
      </c>
      <c r="D31" s="249">
        <f t="shared" ca="1" si="5"/>
        <v>27071</v>
      </c>
      <c r="E31" s="250">
        <f t="shared" ca="1" si="0"/>
        <v>0.56332005806324559</v>
      </c>
      <c r="F31" s="251">
        <f t="shared" ca="1" si="1"/>
        <v>-0.90096886790256736</v>
      </c>
      <c r="G31" s="252">
        <f t="shared" ca="1" si="2"/>
        <v>0.86602540378437687</v>
      </c>
      <c r="H31" s="246"/>
      <c r="I31" s="246"/>
      <c r="J31" s="246"/>
      <c r="K31" s="246"/>
      <c r="L31" s="246"/>
      <c r="M31" s="246"/>
      <c r="N31" s="246"/>
      <c r="O31" s="246"/>
      <c r="P31" s="282"/>
      <c r="Q31" s="283"/>
      <c r="R31" s="291"/>
      <c r="S31" s="297" t="str">
        <f t="shared" ca="1" si="3"/>
        <v xml:space="preserve"> </v>
      </c>
    </row>
    <row r="32" spans="1:19" ht="13.5" thickBot="1">
      <c r="A32" s="539"/>
      <c r="B32" s="253">
        <v>31</v>
      </c>
      <c r="C32" s="254">
        <f t="shared" si="4"/>
        <v>30</v>
      </c>
      <c r="D32" s="255">
        <f t="shared" ca="1" si="5"/>
        <v>27072</v>
      </c>
      <c r="E32" s="256">
        <f t="shared" ca="1" si="0"/>
        <v>0.7818314824675493</v>
      </c>
      <c r="F32" s="257">
        <f t="shared" ca="1" si="1"/>
        <v>-0.78183148246839018</v>
      </c>
      <c r="G32" s="258">
        <f t="shared" ca="1" si="2"/>
        <v>0.75574957435436285</v>
      </c>
      <c r="H32" s="246"/>
      <c r="I32" s="246"/>
      <c r="J32" s="246"/>
      <c r="K32" s="246"/>
      <c r="L32" s="246"/>
      <c r="M32" s="246"/>
      <c r="N32" s="246"/>
      <c r="O32" s="246"/>
      <c r="P32" s="284"/>
      <c r="Q32" s="285"/>
      <c r="R32" s="292"/>
      <c r="S32" s="298" t="str">
        <f t="shared" ca="1" si="3"/>
        <v xml:space="preserve"> </v>
      </c>
    </row>
    <row r="33" spans="1:19">
      <c r="A33" s="532" t="s">
        <v>274</v>
      </c>
      <c r="B33" s="259">
        <v>1</v>
      </c>
      <c r="C33" s="260">
        <f t="shared" si="4"/>
        <v>31</v>
      </c>
      <c r="D33" s="261">
        <f t="shared" ca="1" si="5"/>
        <v>27073</v>
      </c>
      <c r="E33" s="262">
        <f t="shared" ca="1" si="0"/>
        <v>0.93087374864413985</v>
      </c>
      <c r="F33" s="263">
        <f t="shared" ca="1" si="1"/>
        <v>-0.6234898018586591</v>
      </c>
      <c r="G33" s="264">
        <f t="shared" ca="1" si="2"/>
        <v>0.61815898622023835</v>
      </c>
      <c r="H33" s="246"/>
      <c r="I33" s="246"/>
      <c r="J33" s="246"/>
      <c r="K33" s="246"/>
      <c r="L33" s="246"/>
      <c r="M33" s="246"/>
      <c r="N33" s="246"/>
      <c r="O33" s="246"/>
      <c r="P33" s="280"/>
      <c r="Q33" s="281"/>
      <c r="R33" s="290"/>
      <c r="S33" s="296" t="str">
        <f t="shared" ca="1" si="3"/>
        <v xml:space="preserve"> </v>
      </c>
    </row>
    <row r="34" spans="1:19">
      <c r="A34" s="533"/>
      <c r="B34" s="247">
        <v>2</v>
      </c>
      <c r="C34" s="248">
        <f t="shared" si="4"/>
        <v>32</v>
      </c>
      <c r="D34" s="249">
        <f t="shared" ca="1" si="5"/>
        <v>27074</v>
      </c>
      <c r="E34" s="265">
        <f t="shared" ca="1" si="0"/>
        <v>0.99720379718114349</v>
      </c>
      <c r="F34" s="251">
        <f t="shared" ca="1" si="1"/>
        <v>-0.43388373911768519</v>
      </c>
      <c r="G34" s="252">
        <f t="shared" ca="1" si="2"/>
        <v>0.45822652172724726</v>
      </c>
      <c r="H34" s="246"/>
      <c r="I34" s="246"/>
      <c r="J34" s="246"/>
      <c r="K34" s="246"/>
      <c r="L34" s="246"/>
      <c r="M34" s="246"/>
      <c r="N34" s="246"/>
      <c r="O34" s="246"/>
      <c r="P34" s="282"/>
      <c r="Q34" s="283"/>
      <c r="R34" s="291"/>
      <c r="S34" s="297" t="str">
        <f t="shared" ca="1" si="3"/>
        <v xml:space="preserve"> </v>
      </c>
    </row>
    <row r="35" spans="1:19">
      <c r="A35" s="533"/>
      <c r="B35" s="247">
        <v>3</v>
      </c>
      <c r="C35" s="248">
        <f t="shared" si="4"/>
        <v>33</v>
      </c>
      <c r="D35" s="249">
        <f t="shared" ca="1" si="5"/>
        <v>27075</v>
      </c>
      <c r="E35" s="265">
        <f t="shared" ca="1" si="0"/>
        <v>0.97492791218200303</v>
      </c>
      <c r="F35" s="251">
        <f t="shared" ca="1" si="1"/>
        <v>-0.22252093395668221</v>
      </c>
      <c r="G35" s="252">
        <f t="shared" ca="1" si="2"/>
        <v>0.28173255684152526</v>
      </c>
      <c r="H35" s="246"/>
      <c r="I35" s="246"/>
      <c r="J35" s="246"/>
      <c r="K35" s="246"/>
      <c r="L35" s="246"/>
      <c r="M35" s="246"/>
      <c r="N35" s="246"/>
      <c r="O35" s="246"/>
      <c r="P35" s="282"/>
      <c r="Q35" s="283"/>
      <c r="R35" s="291"/>
      <c r="S35" s="297" t="str">
        <f t="shared" ca="1" si="3"/>
        <v xml:space="preserve"> </v>
      </c>
    </row>
    <row r="36" spans="1:19">
      <c r="A36" s="533"/>
      <c r="B36" s="247">
        <v>4</v>
      </c>
      <c r="C36" s="248">
        <f t="shared" si="4"/>
        <v>34</v>
      </c>
      <c r="D36" s="249">
        <f t="shared" ca="1" si="5"/>
        <v>27076</v>
      </c>
      <c r="E36" s="265">
        <f t="shared" ca="1" si="0"/>
        <v>0.86602540378454451</v>
      </c>
      <c r="F36" s="251">
        <f t="shared" ca="1" si="1"/>
        <v>2.9596334064074803E-13</v>
      </c>
      <c r="G36" s="252">
        <f t="shared" ca="1" si="2"/>
        <v>9.50560433045637E-2</v>
      </c>
      <c r="H36" s="246"/>
      <c r="I36" s="246"/>
      <c r="J36" s="246"/>
      <c r="K36" s="246"/>
      <c r="L36" s="246"/>
      <c r="M36" s="246"/>
      <c r="N36" s="246"/>
      <c r="O36" s="246"/>
      <c r="P36" s="282"/>
      <c r="Q36" s="283"/>
      <c r="R36" s="291"/>
      <c r="S36" s="297" t="str">
        <f t="shared" ca="1" si="3"/>
        <v xml:space="preserve"> </v>
      </c>
    </row>
    <row r="37" spans="1:19">
      <c r="A37" s="533"/>
      <c r="B37" s="247">
        <v>5</v>
      </c>
      <c r="C37" s="248">
        <f t="shared" si="4"/>
        <v>35</v>
      </c>
      <c r="D37" s="249">
        <f t="shared" ca="1" si="5"/>
        <v>27077</v>
      </c>
      <c r="E37" s="265">
        <f t="shared" ca="1" si="0"/>
        <v>0.68017273777130549</v>
      </c>
      <c r="F37" s="251">
        <f t="shared" ca="1" si="1"/>
        <v>0.2225209339563726</v>
      </c>
      <c r="G37" s="252">
        <f t="shared" ca="1" si="2"/>
        <v>-9.5056043303519758E-2</v>
      </c>
      <c r="H37" s="246"/>
      <c r="I37" s="246"/>
      <c r="J37" s="246"/>
      <c r="K37" s="246"/>
      <c r="L37" s="246"/>
      <c r="M37" s="246"/>
      <c r="N37" s="246"/>
      <c r="O37" s="246"/>
      <c r="P37" s="282"/>
      <c r="Q37" s="283"/>
      <c r="R37" s="291"/>
      <c r="S37" s="297" t="str">
        <f t="shared" ca="1" si="3"/>
        <v xml:space="preserve"> </v>
      </c>
    </row>
    <row r="38" spans="1:19">
      <c r="A38" s="533"/>
      <c r="B38" s="247">
        <v>6</v>
      </c>
      <c r="C38" s="248">
        <f t="shared" si="4"/>
        <v>36</v>
      </c>
      <c r="D38" s="249">
        <f t="shared" ca="1" si="5"/>
        <v>27078</v>
      </c>
      <c r="E38" s="265">
        <f t="shared" ca="1" si="0"/>
        <v>0.43388373911831651</v>
      </c>
      <c r="F38" s="251">
        <f t="shared" ca="1" si="1"/>
        <v>0.43388373911657963</v>
      </c>
      <c r="G38" s="252">
        <f t="shared" ca="1" si="2"/>
        <v>-0.28173255684051907</v>
      </c>
      <c r="H38" s="246"/>
      <c r="I38" s="246"/>
      <c r="J38" s="246"/>
      <c r="K38" s="246"/>
      <c r="L38" s="246"/>
      <c r="M38" s="246"/>
      <c r="N38" s="246"/>
      <c r="O38" s="246"/>
      <c r="P38" s="282"/>
      <c r="Q38" s="283"/>
      <c r="R38" s="291"/>
      <c r="S38" s="297" t="str">
        <f t="shared" ca="1" si="3"/>
        <v xml:space="preserve"> </v>
      </c>
    </row>
    <row r="39" spans="1:19">
      <c r="A39" s="533"/>
      <c r="B39" s="247">
        <v>7</v>
      </c>
      <c r="C39" s="248">
        <f t="shared" si="4"/>
        <v>37</v>
      </c>
      <c r="D39" s="249">
        <f t="shared" ca="1" si="5"/>
        <v>27079</v>
      </c>
      <c r="E39" s="265">
        <f t="shared" ca="1" si="0"/>
        <v>0.14904226617641897</v>
      </c>
      <c r="F39" s="251">
        <f t="shared" ca="1" si="1"/>
        <v>0.62348980185841074</v>
      </c>
      <c r="G39" s="252">
        <f t="shared" ca="1" si="2"/>
        <v>-0.45822652172712353</v>
      </c>
      <c r="H39" s="246"/>
      <c r="I39" s="246"/>
      <c r="J39" s="246"/>
      <c r="K39" s="246"/>
      <c r="L39" s="246"/>
      <c r="M39" s="246"/>
      <c r="N39" s="246"/>
      <c r="O39" s="246"/>
      <c r="P39" s="282"/>
      <c r="Q39" s="283"/>
      <c r="R39" s="291"/>
      <c r="S39" s="297" t="str">
        <f t="shared" ca="1" si="3"/>
        <v xml:space="preserve"> </v>
      </c>
    </row>
    <row r="40" spans="1:19">
      <c r="A40" s="533"/>
      <c r="B40" s="247">
        <v>8</v>
      </c>
      <c r="C40" s="248">
        <f t="shared" si="4"/>
        <v>38</v>
      </c>
      <c r="D40" s="249">
        <f t="shared" ca="1" si="5"/>
        <v>27080</v>
      </c>
      <c r="E40" s="265">
        <f t="shared" ca="1" si="0"/>
        <v>-0.14904226617561844</v>
      </c>
      <c r="F40" s="251">
        <f t="shared" ca="1" si="1"/>
        <v>0.78183148246762513</v>
      </c>
      <c r="G40" s="252">
        <f t="shared" ca="1" si="2"/>
        <v>-0.61815898622012899</v>
      </c>
      <c r="H40" s="246"/>
      <c r="I40" s="246"/>
      <c r="J40" s="246"/>
      <c r="K40" s="246"/>
      <c r="L40" s="246"/>
      <c r="M40" s="246"/>
      <c r="N40" s="246"/>
      <c r="O40" s="246"/>
      <c r="P40" s="282"/>
      <c r="Q40" s="283"/>
      <c r="R40" s="291"/>
      <c r="S40" s="297" t="str">
        <f t="shared" ca="1" si="3"/>
        <v xml:space="preserve"> </v>
      </c>
    </row>
    <row r="41" spans="1:19">
      <c r="A41" s="533"/>
      <c r="B41" s="247">
        <v>9</v>
      </c>
      <c r="C41" s="248">
        <f t="shared" si="4"/>
        <v>39</v>
      </c>
      <c r="D41" s="249">
        <f t="shared" ca="1" si="5"/>
        <v>27081</v>
      </c>
      <c r="E41" s="265">
        <f t="shared" ca="1" si="0"/>
        <v>-0.4338837391167677</v>
      </c>
      <c r="F41" s="251">
        <f t="shared" ca="1" si="1"/>
        <v>0.90096886790203501</v>
      </c>
      <c r="G41" s="252">
        <f t="shared" ca="1" si="2"/>
        <v>-0.75574957435367607</v>
      </c>
      <c r="H41" s="246"/>
      <c r="I41" s="246"/>
      <c r="J41" s="246"/>
      <c r="K41" s="246"/>
      <c r="L41" s="246"/>
      <c r="M41" s="246"/>
      <c r="N41" s="246"/>
      <c r="O41" s="246"/>
      <c r="P41" s="282"/>
      <c r="Q41" s="283"/>
      <c r="R41" s="291"/>
      <c r="S41" s="297" t="str">
        <f t="shared" ca="1" si="3"/>
        <v xml:space="preserve"> </v>
      </c>
    </row>
    <row r="42" spans="1:19">
      <c r="A42" s="533"/>
      <c r="B42" s="247">
        <v>10</v>
      </c>
      <c r="C42" s="248">
        <f t="shared" si="4"/>
        <v>40</v>
      </c>
      <c r="D42" s="249">
        <f t="shared" ca="1" si="5"/>
        <v>27082</v>
      </c>
      <c r="E42" s="265">
        <f t="shared" ca="1" si="0"/>
        <v>-0.68017273777071208</v>
      </c>
      <c r="F42" s="251">
        <f t="shared" ca="1" si="1"/>
        <v>0.97492791218177643</v>
      </c>
      <c r="G42" s="252">
        <f t="shared" ca="1" si="2"/>
        <v>-0.86602540378430737</v>
      </c>
      <c r="H42" s="246"/>
      <c r="I42" s="246"/>
      <c r="J42" s="246"/>
      <c r="K42" s="246"/>
      <c r="L42" s="246"/>
      <c r="M42" s="246"/>
      <c r="N42" s="246"/>
      <c r="O42" s="246"/>
      <c r="P42" s="282"/>
      <c r="Q42" s="283"/>
      <c r="R42" s="291"/>
      <c r="S42" s="297" t="str">
        <f t="shared" ca="1" si="3"/>
        <v xml:space="preserve"> </v>
      </c>
    </row>
    <row r="43" spans="1:19">
      <c r="A43" s="533"/>
      <c r="B43" s="247">
        <v>11</v>
      </c>
      <c r="C43" s="248">
        <f t="shared" si="4"/>
        <v>41</v>
      </c>
      <c r="D43" s="249">
        <f t="shared" ca="1" si="5"/>
        <v>27083</v>
      </c>
      <c r="E43" s="265">
        <f t="shared" ca="1" si="0"/>
        <v>-0.86602540378413972</v>
      </c>
      <c r="F43" s="251">
        <f t="shared" ca="1" si="1"/>
        <v>1</v>
      </c>
      <c r="G43" s="252">
        <f t="shared" ca="1" si="2"/>
        <v>-0.94500081871448993</v>
      </c>
      <c r="H43" s="246"/>
      <c r="I43" s="246"/>
      <c r="J43" s="246"/>
      <c r="K43" s="246"/>
      <c r="L43" s="246"/>
      <c r="M43" s="246"/>
      <c r="N43" s="246"/>
      <c r="O43" s="246"/>
      <c r="P43" s="282"/>
      <c r="Q43" s="283"/>
      <c r="R43" s="291"/>
      <c r="S43" s="297" t="str">
        <f t="shared" ca="1" si="3"/>
        <v xml:space="preserve"> </v>
      </c>
    </row>
    <row r="44" spans="1:19">
      <c r="A44" s="533"/>
      <c r="B44" s="247">
        <v>12</v>
      </c>
      <c r="C44" s="248">
        <f t="shared" si="4"/>
        <v>42</v>
      </c>
      <c r="D44" s="249">
        <f t="shared" ca="1" si="5"/>
        <v>27084</v>
      </c>
      <c r="E44" s="265">
        <f t="shared" ca="1" si="0"/>
        <v>-0.97492791218182284</v>
      </c>
      <c r="F44" s="251">
        <f t="shared" ca="1" si="1"/>
        <v>0.97492791218177355</v>
      </c>
      <c r="G44" s="252">
        <f t="shared" ca="1" si="2"/>
        <v>-0.98982144188094423</v>
      </c>
      <c r="H44" s="246"/>
      <c r="I44" s="246"/>
      <c r="J44" s="246"/>
      <c r="K44" s="246"/>
      <c r="L44" s="246"/>
      <c r="M44" s="246"/>
      <c r="N44" s="246"/>
      <c r="O44" s="246"/>
      <c r="P44" s="282"/>
      <c r="Q44" s="283"/>
      <c r="R44" s="291"/>
      <c r="S44" s="297" t="str">
        <f t="shared" ca="1" si="3"/>
        <v xml:space="preserve"> </v>
      </c>
    </row>
    <row r="45" spans="1:19">
      <c r="A45" s="533"/>
      <c r="B45" s="247">
        <v>13</v>
      </c>
      <c r="C45" s="248">
        <f t="shared" si="4"/>
        <v>43</v>
      </c>
      <c r="D45" s="249">
        <f t="shared" ca="1" si="5"/>
        <v>27085</v>
      </c>
      <c r="E45" s="265">
        <f t="shared" ca="1" si="0"/>
        <v>-0.99720379718120389</v>
      </c>
      <c r="F45" s="251">
        <f t="shared" ca="1" si="1"/>
        <v>0.90096886790242403</v>
      </c>
      <c r="G45" s="252">
        <f t="shared" ca="1" si="2"/>
        <v>-0.99886733918301762</v>
      </c>
      <c r="H45" s="246"/>
      <c r="I45" s="246"/>
      <c r="J45" s="246"/>
      <c r="K45" s="246"/>
      <c r="L45" s="246"/>
      <c r="M45" s="246"/>
      <c r="N45" s="246"/>
      <c r="O45" s="246"/>
      <c r="P45" s="282"/>
      <c r="Q45" s="283"/>
      <c r="R45" s="291"/>
      <c r="S45" s="297" t="str">
        <f t="shared" ca="1" si="3"/>
        <v xml:space="preserve"> </v>
      </c>
    </row>
    <row r="46" spans="1:19">
      <c r="A46" s="533"/>
      <c r="B46" s="247">
        <v>14</v>
      </c>
      <c r="C46" s="248">
        <f t="shared" si="4"/>
        <v>44</v>
      </c>
      <c r="D46" s="249">
        <f t="shared" ca="1" si="5"/>
        <v>27086</v>
      </c>
      <c r="E46" s="265">
        <f t="shared" ca="1" si="0"/>
        <v>-0.93087374864443562</v>
      </c>
      <c r="F46" s="251">
        <f t="shared" ca="1" si="1"/>
        <v>0.78183148246818424</v>
      </c>
      <c r="G46" s="252">
        <f t="shared" ca="1" si="2"/>
        <v>-0.97181156832365623</v>
      </c>
      <c r="H46" s="246"/>
      <c r="I46" s="246"/>
      <c r="J46" s="246"/>
      <c r="K46" s="246"/>
      <c r="L46" s="246"/>
      <c r="M46" s="246"/>
      <c r="N46" s="246"/>
      <c r="O46" s="246"/>
      <c r="P46" s="282"/>
      <c r="Q46" s="283"/>
      <c r="R46" s="291"/>
      <c r="S46" s="297" t="str">
        <f t="shared" ca="1" si="3"/>
        <v xml:space="preserve"> </v>
      </c>
    </row>
    <row r="47" spans="1:19">
      <c r="A47" s="533"/>
      <c r="B47" s="247">
        <v>15</v>
      </c>
      <c r="C47" s="248">
        <f t="shared" si="4"/>
        <v>45</v>
      </c>
      <c r="D47" s="249">
        <f t="shared" ca="1" si="5"/>
        <v>27087</v>
      </c>
      <c r="E47" s="265">
        <f t="shared" ca="1" si="0"/>
        <v>-0.78183148246805412</v>
      </c>
      <c r="F47" s="251">
        <f t="shared" ca="1" si="1"/>
        <v>0.62348980185840086</v>
      </c>
      <c r="G47" s="252">
        <f t="shared" ca="1" si="2"/>
        <v>-0.90963199535445993</v>
      </c>
      <c r="H47" s="246"/>
      <c r="I47" s="246"/>
      <c r="J47" s="246"/>
      <c r="K47" s="246"/>
      <c r="L47" s="246"/>
      <c r="M47" s="246"/>
      <c r="N47" s="246"/>
      <c r="O47" s="246"/>
      <c r="P47" s="282"/>
      <c r="Q47" s="283"/>
      <c r="R47" s="291"/>
      <c r="S47" s="297" t="str">
        <f t="shared" ca="1" si="3"/>
        <v xml:space="preserve"> </v>
      </c>
    </row>
    <row r="48" spans="1:19">
      <c r="A48" s="533"/>
      <c r="B48" s="247">
        <v>16</v>
      </c>
      <c r="C48" s="248">
        <f t="shared" si="4"/>
        <v>46</v>
      </c>
      <c r="D48" s="249">
        <f t="shared" ca="1" si="5"/>
        <v>27088</v>
      </c>
      <c r="E48" s="265">
        <f t="shared" ca="1" si="0"/>
        <v>-0.5633200580639145</v>
      </c>
      <c r="F48" s="251">
        <f t="shared" ca="1" si="1"/>
        <v>0.43388373911738759</v>
      </c>
      <c r="G48" s="252">
        <f t="shared" ca="1" si="2"/>
        <v>-0.81457595205041844</v>
      </c>
      <c r="H48" s="246"/>
      <c r="I48" s="246"/>
      <c r="J48" s="246"/>
      <c r="K48" s="246"/>
      <c r="L48" s="246"/>
      <c r="M48" s="246"/>
      <c r="N48" s="246"/>
      <c r="O48" s="246"/>
      <c r="P48" s="282"/>
      <c r="Q48" s="283"/>
      <c r="R48" s="291"/>
      <c r="S48" s="297" t="str">
        <f t="shared" ca="1" si="3"/>
        <v xml:space="preserve"> </v>
      </c>
    </row>
    <row r="49" spans="1:19">
      <c r="A49" s="533"/>
      <c r="B49" s="247">
        <v>17</v>
      </c>
      <c r="C49" s="248">
        <f t="shared" si="4"/>
        <v>47</v>
      </c>
      <c r="D49" s="249">
        <f t="shared" ca="1" si="5"/>
        <v>27089</v>
      </c>
      <c r="E49" s="265">
        <f t="shared" ca="1" si="0"/>
        <v>-0.29475517441154347</v>
      </c>
      <c r="F49" s="251">
        <f t="shared" ca="1" si="1"/>
        <v>0.2225209339572469</v>
      </c>
      <c r="G49" s="252">
        <f t="shared" ca="1" si="2"/>
        <v>-0.69007901148242012</v>
      </c>
      <c r="H49" s="246"/>
      <c r="I49" s="246"/>
      <c r="J49" s="246"/>
      <c r="K49" s="246"/>
      <c r="L49" s="246"/>
      <c r="M49" s="246"/>
      <c r="N49" s="246"/>
      <c r="O49" s="246"/>
      <c r="P49" s="282"/>
      <c r="Q49" s="283"/>
      <c r="R49" s="291"/>
      <c r="S49" s="297" t="str">
        <f t="shared" ca="1" si="3"/>
        <v xml:space="preserve"> </v>
      </c>
    </row>
    <row r="50" spans="1:19">
      <c r="A50" s="533"/>
      <c r="B50" s="247">
        <v>18</v>
      </c>
      <c r="C50" s="248">
        <f t="shared" si="4"/>
        <v>48</v>
      </c>
      <c r="D50" s="249">
        <f t="shared" ca="1" si="5"/>
        <v>27090</v>
      </c>
      <c r="E50" s="265">
        <f t="shared" ca="1" si="0"/>
        <v>-7.4503771207989899E-14</v>
      </c>
      <c r="F50" s="251">
        <f t="shared" ca="1" si="1"/>
        <v>2.8325150384922448E-13</v>
      </c>
      <c r="G50" s="252">
        <f t="shared" ca="1" si="2"/>
        <v>-0.5406408174554288</v>
      </c>
      <c r="H50" s="246"/>
      <c r="I50" s="246"/>
      <c r="J50" s="246"/>
      <c r="K50" s="246"/>
      <c r="L50" s="246"/>
      <c r="M50" s="246"/>
      <c r="N50" s="246"/>
      <c r="O50" s="246"/>
      <c r="P50" s="282"/>
      <c r="Q50" s="283"/>
      <c r="R50" s="291"/>
      <c r="S50" s="297" t="str">
        <f t="shared" ca="1" si="3"/>
        <v xml:space="preserve"> </v>
      </c>
    </row>
    <row r="51" spans="1:19">
      <c r="A51" s="533"/>
      <c r="B51" s="247">
        <v>19</v>
      </c>
      <c r="C51" s="248">
        <f t="shared" si="4"/>
        <v>49</v>
      </c>
      <c r="D51" s="249">
        <f t="shared" ca="1" si="5"/>
        <v>27091</v>
      </c>
      <c r="E51" s="265">
        <f t="shared" ca="1" si="0"/>
        <v>0.29475517441053201</v>
      </c>
      <c r="F51" s="251">
        <f t="shared" ca="1" si="1"/>
        <v>-0.22252093395580791</v>
      </c>
      <c r="G51" s="252">
        <f t="shared" ca="1" si="2"/>
        <v>-0.37166245566040412</v>
      </c>
      <c r="H51" s="246"/>
      <c r="I51" s="246"/>
      <c r="J51" s="246"/>
      <c r="K51" s="246"/>
      <c r="L51" s="246"/>
      <c r="M51" s="246"/>
      <c r="N51" s="246"/>
      <c r="O51" s="246"/>
      <c r="P51" s="282"/>
      <c r="Q51" s="283"/>
      <c r="R51" s="291"/>
      <c r="S51" s="297" t="str">
        <f t="shared" ca="1" si="3"/>
        <v xml:space="preserve"> </v>
      </c>
    </row>
    <row r="52" spans="1:19">
      <c r="A52" s="533"/>
      <c r="B52" s="247">
        <v>20</v>
      </c>
      <c r="C52" s="248">
        <f t="shared" si="4"/>
        <v>50</v>
      </c>
      <c r="D52" s="249">
        <f t="shared" ca="1" si="5"/>
        <v>27092</v>
      </c>
      <c r="E52" s="265">
        <f t="shared" ca="1" si="0"/>
        <v>0.56332005806303986</v>
      </c>
      <c r="F52" s="251">
        <f t="shared" ca="1" si="1"/>
        <v>-0.43388373911687717</v>
      </c>
      <c r="G52" s="252">
        <f t="shared" ca="1" si="2"/>
        <v>-0.18925124436076926</v>
      </c>
      <c r="H52" s="246"/>
      <c r="I52" s="246"/>
      <c r="J52" s="246"/>
      <c r="K52" s="246"/>
      <c r="L52" s="246"/>
      <c r="M52" s="246"/>
      <c r="N52" s="246"/>
      <c r="O52" s="246"/>
      <c r="P52" s="282"/>
      <c r="Q52" s="283"/>
      <c r="R52" s="291"/>
      <c r="S52" s="297" t="str">
        <f t="shared" ca="1" si="3"/>
        <v xml:space="preserve"> </v>
      </c>
    </row>
    <row r="53" spans="1:19">
      <c r="A53" s="533"/>
      <c r="B53" s="247">
        <v>21</v>
      </c>
      <c r="C53" s="248">
        <f t="shared" si="4"/>
        <v>51</v>
      </c>
      <c r="D53" s="249">
        <f t="shared" ca="1" si="5"/>
        <v>27093</v>
      </c>
      <c r="E53" s="265">
        <f t="shared" ca="1" si="0"/>
        <v>0.78183148246796119</v>
      </c>
      <c r="F53" s="251">
        <f t="shared" ca="1" si="1"/>
        <v>-0.62348980185866898</v>
      </c>
      <c r="G53" s="252">
        <f t="shared" ca="1" si="2"/>
        <v>2.6068340194806972E-13</v>
      </c>
      <c r="H53" s="246"/>
      <c r="I53" s="246"/>
      <c r="J53" s="246"/>
      <c r="K53" s="246"/>
      <c r="L53" s="246"/>
      <c r="M53" s="246"/>
      <c r="N53" s="246"/>
      <c r="O53" s="246"/>
      <c r="P53" s="282"/>
      <c r="Q53" s="283"/>
      <c r="R53" s="291"/>
      <c r="S53" s="297" t="str">
        <f t="shared" ca="1" si="3"/>
        <v xml:space="preserve"> </v>
      </c>
    </row>
    <row r="54" spans="1:19">
      <c r="A54" s="533"/>
      <c r="B54" s="247">
        <v>22</v>
      </c>
      <c r="C54" s="248">
        <f t="shared" si="4"/>
        <v>52</v>
      </c>
      <c r="D54" s="249">
        <f t="shared" ca="1" si="5"/>
        <v>27094</v>
      </c>
      <c r="E54" s="265">
        <f t="shared" ca="1" si="0"/>
        <v>0.93087374864404893</v>
      </c>
      <c r="F54" s="251">
        <f t="shared" ca="1" si="1"/>
        <v>-0.78183148246783107</v>
      </c>
      <c r="G54" s="252">
        <f t="shared" ca="1" si="2"/>
        <v>0.18925124436038815</v>
      </c>
      <c r="H54" s="246"/>
      <c r="I54" s="246"/>
      <c r="J54" s="246"/>
      <c r="K54" s="246"/>
      <c r="L54" s="246"/>
      <c r="M54" s="246"/>
      <c r="N54" s="246"/>
      <c r="O54" s="246"/>
      <c r="P54" s="282"/>
      <c r="Q54" s="283"/>
      <c r="R54" s="291"/>
      <c r="S54" s="297" t="str">
        <f t="shared" ca="1" si="3"/>
        <v xml:space="preserve"> </v>
      </c>
    </row>
    <row r="55" spans="1:19">
      <c r="A55" s="533"/>
      <c r="B55" s="247">
        <v>23</v>
      </c>
      <c r="C55" s="248">
        <f t="shared" si="4"/>
        <v>53</v>
      </c>
      <c r="D55" s="249">
        <f t="shared" ca="1" si="5"/>
        <v>27095</v>
      </c>
      <c r="E55" s="265">
        <f t="shared" ca="1" si="0"/>
        <v>0.99720379718112484</v>
      </c>
      <c r="F55" s="251">
        <f t="shared" ca="1" si="1"/>
        <v>-0.90096886790217834</v>
      </c>
      <c r="G55" s="252">
        <f t="shared" ca="1" si="2"/>
        <v>0.3716624556600438</v>
      </c>
      <c r="H55" s="246"/>
      <c r="I55" s="246"/>
      <c r="J55" s="246"/>
      <c r="K55" s="246"/>
      <c r="L55" s="246"/>
      <c r="M55" s="246"/>
      <c r="N55" s="246"/>
      <c r="O55" s="246"/>
      <c r="P55" s="282"/>
      <c r="Q55" s="283"/>
      <c r="R55" s="291"/>
      <c r="S55" s="297" t="str">
        <f t="shared" ca="1" si="3"/>
        <v xml:space="preserve"> </v>
      </c>
    </row>
    <row r="56" spans="1:19">
      <c r="A56" s="533"/>
      <c r="B56" s="247">
        <v>24</v>
      </c>
      <c r="C56" s="248">
        <f t="shared" si="4"/>
        <v>54</v>
      </c>
      <c r="D56" s="249">
        <f t="shared" ca="1" si="5"/>
        <v>27096</v>
      </c>
      <c r="E56" s="265">
        <f t="shared" ca="1" si="0"/>
        <v>0.97492791218185604</v>
      </c>
      <c r="F56" s="251">
        <f t="shared" ca="1" si="1"/>
        <v>-0.97492791218184993</v>
      </c>
      <c r="G56" s="252">
        <f t="shared" ca="1" si="2"/>
        <v>0.54064081745586745</v>
      </c>
      <c r="H56" s="246"/>
      <c r="I56" s="246"/>
      <c r="J56" s="246"/>
      <c r="K56" s="246"/>
      <c r="L56" s="246"/>
      <c r="M56" s="246"/>
      <c r="N56" s="246"/>
      <c r="O56" s="246"/>
      <c r="P56" s="282"/>
      <c r="Q56" s="283"/>
      <c r="R56" s="291"/>
      <c r="S56" s="297" t="str">
        <f t="shared" ca="1" si="3"/>
        <v xml:space="preserve"> </v>
      </c>
    </row>
    <row r="57" spans="1:19">
      <c r="A57" s="533"/>
      <c r="B57" s="247">
        <v>25</v>
      </c>
      <c r="C57" s="248">
        <f t="shared" si="4"/>
        <v>55</v>
      </c>
      <c r="D57" s="249">
        <f t="shared" ca="1" si="5"/>
        <v>27097</v>
      </c>
      <c r="E57" s="265">
        <f t="shared" ca="1" si="0"/>
        <v>0.86602540378466897</v>
      </c>
      <c r="F57" s="251">
        <f t="shared" ca="1" si="1"/>
        <v>-1</v>
      </c>
      <c r="G57" s="252">
        <f t="shared" ca="1" si="2"/>
        <v>0.69007901148213924</v>
      </c>
      <c r="H57" s="246"/>
      <c r="I57" s="246"/>
      <c r="J57" s="246"/>
      <c r="K57" s="246"/>
      <c r="L57" s="246"/>
      <c r="M57" s="246"/>
      <c r="N57" s="246"/>
      <c r="O57" s="246"/>
      <c r="P57" s="282"/>
      <c r="Q57" s="283"/>
      <c r="R57" s="291"/>
      <c r="S57" s="297" t="str">
        <f t="shared" ca="1" si="3"/>
        <v xml:space="preserve"> </v>
      </c>
    </row>
    <row r="58" spans="1:19">
      <c r="A58" s="533"/>
      <c r="B58" s="247">
        <v>26</v>
      </c>
      <c r="C58" s="248">
        <f t="shared" si="4"/>
        <v>56</v>
      </c>
      <c r="D58" s="249">
        <f t="shared" ca="1" si="5"/>
        <v>27098</v>
      </c>
      <c r="E58" s="265">
        <f t="shared" ca="1" si="0"/>
        <v>0.68017273777148801</v>
      </c>
      <c r="F58" s="251">
        <f t="shared" ca="1" si="1"/>
        <v>-0.97492791218190245</v>
      </c>
      <c r="G58" s="252">
        <f t="shared" ca="1" si="2"/>
        <v>0.81457595205019329</v>
      </c>
      <c r="H58" s="246"/>
      <c r="I58" s="246"/>
      <c r="J58" s="246"/>
      <c r="K58" s="246"/>
      <c r="L58" s="246"/>
      <c r="M58" s="246"/>
      <c r="N58" s="246"/>
      <c r="O58" s="246"/>
      <c r="P58" s="282"/>
      <c r="Q58" s="283"/>
      <c r="R58" s="291"/>
      <c r="S58" s="297" t="str">
        <f t="shared" ca="1" si="3"/>
        <v xml:space="preserve"> </v>
      </c>
    </row>
    <row r="59" spans="1:19">
      <c r="A59" s="533"/>
      <c r="B59" s="247">
        <v>27</v>
      </c>
      <c r="C59" s="248">
        <f t="shared" si="4"/>
        <v>57</v>
      </c>
      <c r="D59" s="249">
        <f t="shared" ca="1" si="5"/>
        <v>27099</v>
      </c>
      <c r="E59" s="265">
        <f t="shared" ca="1" si="0"/>
        <v>0.43388373911772138</v>
      </c>
      <c r="F59" s="251">
        <f t="shared" ca="1" si="1"/>
        <v>-0.90096886790228081</v>
      </c>
      <c r="G59" s="252">
        <f t="shared" ca="1" si="2"/>
        <v>0.90963199535467654</v>
      </c>
      <c r="H59" s="246"/>
      <c r="I59" s="246"/>
      <c r="J59" s="246"/>
      <c r="K59" s="246"/>
      <c r="L59" s="246"/>
      <c r="M59" s="246"/>
      <c r="N59" s="246"/>
      <c r="O59" s="246"/>
      <c r="P59" s="282"/>
      <c r="Q59" s="283"/>
      <c r="R59" s="291"/>
      <c r="S59" s="297" t="str">
        <f t="shared" ca="1" si="3"/>
        <v xml:space="preserve"> </v>
      </c>
    </row>
    <row r="60" spans="1:19" ht="13.5" thickBot="1">
      <c r="A60" s="534"/>
      <c r="B60" s="253">
        <v>28</v>
      </c>
      <c r="C60" s="254">
        <f t="shared" si="4"/>
        <v>58</v>
      </c>
      <c r="D60" s="255">
        <f t="shared" ca="1" si="5"/>
        <v>27100</v>
      </c>
      <c r="E60" s="266">
        <f t="shared" ca="1" si="0"/>
        <v>0.14904226617666511</v>
      </c>
      <c r="F60" s="257">
        <f t="shared" ca="1" si="1"/>
        <v>-0.78183148246854539</v>
      </c>
      <c r="G60" s="258">
        <f t="shared" ca="1" si="2"/>
        <v>0.97181156832335025</v>
      </c>
      <c r="H60" s="246"/>
      <c r="I60" s="246"/>
      <c r="J60" s="246"/>
      <c r="K60" s="246"/>
      <c r="L60" s="246"/>
      <c r="M60" s="246"/>
      <c r="N60" s="246"/>
      <c r="O60" s="246"/>
      <c r="P60" s="284"/>
      <c r="Q60" s="285"/>
      <c r="R60" s="292"/>
      <c r="S60" s="298" t="str">
        <f t="shared" ca="1" si="3"/>
        <v xml:space="preserve"> </v>
      </c>
    </row>
    <row r="61" spans="1:19">
      <c r="A61" s="540" t="s">
        <v>275</v>
      </c>
      <c r="B61" s="259">
        <v>1</v>
      </c>
      <c r="C61" s="260">
        <f t="shared" si="4"/>
        <v>59</v>
      </c>
      <c r="D61" s="261">
        <f t="shared" ca="1" si="5"/>
        <v>27101</v>
      </c>
      <c r="E61" s="262">
        <f t="shared" ca="1" si="0"/>
        <v>-0.14904226617627161</v>
      </c>
      <c r="F61" s="263">
        <f t="shared" ca="1" si="1"/>
        <v>-0.62348980185885372</v>
      </c>
      <c r="G61" s="264">
        <f t="shared" ca="1" si="2"/>
        <v>0.99886733918299919</v>
      </c>
      <c r="H61" s="246"/>
      <c r="I61" s="246"/>
      <c r="J61" s="246"/>
      <c r="K61" s="246"/>
      <c r="L61" s="246"/>
      <c r="M61" s="246"/>
      <c r="N61" s="246"/>
      <c r="O61" s="246"/>
      <c r="P61" s="280"/>
      <c r="Q61" s="281"/>
      <c r="R61" s="290"/>
      <c r="S61" s="296" t="str">
        <f t="shared" ca="1" si="3"/>
        <v xml:space="preserve"> </v>
      </c>
    </row>
    <row r="62" spans="1:19">
      <c r="A62" s="538"/>
      <c r="B62" s="247">
        <v>2</v>
      </c>
      <c r="C62" s="248">
        <f t="shared" si="4"/>
        <v>60</v>
      </c>
      <c r="D62" s="249">
        <f t="shared" ca="1" si="5"/>
        <v>27102</v>
      </c>
      <c r="E62" s="265">
        <f t="shared" ca="1" si="0"/>
        <v>-0.43388373911736283</v>
      </c>
      <c r="F62" s="251">
        <f t="shared" ca="1" si="1"/>
        <v>-0.43388373911790945</v>
      </c>
      <c r="G62" s="252">
        <f t="shared" ca="1" si="2"/>
        <v>0.98982144188099941</v>
      </c>
      <c r="H62" s="246"/>
      <c r="I62" s="246"/>
      <c r="J62" s="246"/>
      <c r="K62" s="246"/>
      <c r="L62" s="246"/>
      <c r="M62" s="246"/>
      <c r="N62" s="246"/>
      <c r="O62" s="246"/>
      <c r="P62" s="282"/>
      <c r="Q62" s="283"/>
      <c r="R62" s="291"/>
      <c r="S62" s="297" t="str">
        <f t="shared" ca="1" si="3"/>
        <v xml:space="preserve"> </v>
      </c>
    </row>
    <row r="63" spans="1:19">
      <c r="A63" s="538"/>
      <c r="B63" s="247">
        <v>3</v>
      </c>
      <c r="C63" s="248">
        <f t="shared" si="4"/>
        <v>61</v>
      </c>
      <c r="D63" s="249">
        <f t="shared" ca="1" si="5"/>
        <v>27103</v>
      </c>
      <c r="E63" s="265">
        <f t="shared" ca="1" si="0"/>
        <v>-0.68017273777052956</v>
      </c>
      <c r="F63" s="251">
        <f t="shared" ca="1" si="1"/>
        <v>-0.2225209339569249</v>
      </c>
      <c r="G63" s="252">
        <f t="shared" ca="1" si="2"/>
        <v>0.94500081871491437</v>
      </c>
      <c r="H63" s="246"/>
      <c r="I63" s="246"/>
      <c r="J63" s="246"/>
      <c r="K63" s="246"/>
      <c r="L63" s="246"/>
      <c r="M63" s="246"/>
      <c r="N63" s="246"/>
      <c r="O63" s="246"/>
      <c r="P63" s="282"/>
      <c r="Q63" s="283"/>
      <c r="R63" s="291"/>
      <c r="S63" s="297" t="str">
        <f t="shared" ca="1" si="3"/>
        <v xml:space="preserve"> </v>
      </c>
    </row>
    <row r="64" spans="1:19">
      <c r="A64" s="538"/>
      <c r="B64" s="247">
        <v>4</v>
      </c>
      <c r="C64" s="248">
        <f t="shared" si="4"/>
        <v>62</v>
      </c>
      <c r="D64" s="249">
        <f t="shared" ca="1" si="5"/>
        <v>27104</v>
      </c>
      <c r="E64" s="265">
        <f t="shared" ca="1" si="0"/>
        <v>-0.86602540378447002</v>
      </c>
      <c r="F64" s="251">
        <f t="shared" ca="1" si="1"/>
        <v>4.702835343373124E-14</v>
      </c>
      <c r="G64" s="252">
        <f t="shared" ca="1" si="2"/>
        <v>0.86602540378450132</v>
      </c>
      <c r="H64" s="246"/>
      <c r="I64" s="246"/>
      <c r="J64" s="246"/>
      <c r="K64" s="246"/>
      <c r="L64" s="246"/>
      <c r="M64" s="246"/>
      <c r="N64" s="246"/>
      <c r="O64" s="246"/>
      <c r="P64" s="282"/>
      <c r="Q64" s="283"/>
      <c r="R64" s="291"/>
      <c r="S64" s="297" t="str">
        <f t="shared" ca="1" si="3"/>
        <v xml:space="preserve"> </v>
      </c>
    </row>
    <row r="65" spans="1:19">
      <c r="A65" s="538"/>
      <c r="B65" s="247">
        <v>5</v>
      </c>
      <c r="C65" s="248">
        <f t="shared" si="4"/>
        <v>63</v>
      </c>
      <c r="D65" s="249">
        <f t="shared" ca="1" si="5"/>
        <v>27105</v>
      </c>
      <c r="E65" s="265">
        <f t="shared" ca="1" si="0"/>
        <v>-0.97492791218176744</v>
      </c>
      <c r="F65" s="251">
        <f t="shared" ca="1" si="1"/>
        <v>0.2225209339561299</v>
      </c>
      <c r="G65" s="252">
        <f t="shared" ca="1" si="2"/>
        <v>0.75574957435452583</v>
      </c>
      <c r="H65" s="246"/>
      <c r="I65" s="246"/>
      <c r="J65" s="246"/>
      <c r="K65" s="246"/>
      <c r="L65" s="246"/>
      <c r="M65" s="246"/>
      <c r="N65" s="246"/>
      <c r="O65" s="246"/>
      <c r="P65" s="282"/>
      <c r="Q65" s="283"/>
      <c r="R65" s="291"/>
      <c r="S65" s="297" t="str">
        <f t="shared" ca="1" si="3"/>
        <v xml:space="preserve"> </v>
      </c>
    </row>
    <row r="66" spans="1:19">
      <c r="A66" s="538"/>
      <c r="B66" s="247">
        <v>6</v>
      </c>
      <c r="C66" s="248">
        <f t="shared" si="4"/>
        <v>64</v>
      </c>
      <c r="D66" s="249">
        <f t="shared" ca="1" si="5"/>
        <v>27106</v>
      </c>
      <c r="E66" s="265">
        <f t="shared" ca="1" si="0"/>
        <v>-0.99720379718122254</v>
      </c>
      <c r="F66" s="251">
        <f t="shared" ca="1" si="1"/>
        <v>0.43388373911717476</v>
      </c>
      <c r="G66" s="252">
        <f t="shared" ca="1" si="2"/>
        <v>0.61815898622114895</v>
      </c>
      <c r="H66" s="246"/>
      <c r="I66" s="246"/>
      <c r="J66" s="246"/>
      <c r="K66" s="246"/>
      <c r="L66" s="246"/>
      <c r="M66" s="246"/>
      <c r="N66" s="246"/>
      <c r="O66" s="246"/>
      <c r="P66" s="282"/>
      <c r="Q66" s="283"/>
      <c r="R66" s="291"/>
      <c r="S66" s="297" t="str">
        <f t="shared" ca="1" si="3"/>
        <v xml:space="preserve"> </v>
      </c>
    </row>
    <row r="67" spans="1:19">
      <c r="A67" s="538"/>
      <c r="B67" s="247">
        <v>7</v>
      </c>
      <c r="C67" s="248">
        <f t="shared" si="4"/>
        <v>65</v>
      </c>
      <c r="D67" s="249">
        <f t="shared" ca="1" si="5"/>
        <v>27107</v>
      </c>
      <c r="E67" s="265">
        <f t="shared" ref="E67:E130" ca="1" si="6">SIN(2*PI()*$D67/21)</f>
        <v>-0.93087374864419437</v>
      </c>
      <c r="F67" s="251">
        <f t="shared" ref="F67:F130" ca="1" si="7">SIN(2*PI()*$D67/28)</f>
        <v>0.62348980185892722</v>
      </c>
      <c r="G67" s="252">
        <f t="shared" ref="G67:G130" ca="1" si="8">SIN(2*PI()*$D67/33)</f>
        <v>0.45822652172746853</v>
      </c>
      <c r="H67" s="246"/>
      <c r="I67" s="246"/>
      <c r="J67" s="246"/>
      <c r="K67" s="246"/>
      <c r="L67" s="246"/>
      <c r="M67" s="246"/>
      <c r="N67" s="246"/>
      <c r="O67" s="246"/>
      <c r="P67" s="282"/>
      <c r="Q67" s="283"/>
      <c r="R67" s="291"/>
      <c r="S67" s="297" t="str">
        <f t="shared" ref="S67:S130" ca="1" si="9">IF(AND(E67&gt;0.6,F67&gt;0.6,G67&gt;0.6),"&lt;----OK",IF(AND(E67&lt;-0.6,F67&lt;-0.6,G67&lt;-0.6),"&lt;XXX&gt;"," "))</f>
        <v xml:space="preserve"> </v>
      </c>
    </row>
    <row r="68" spans="1:19">
      <c r="A68" s="538"/>
      <c r="B68" s="247">
        <v>8</v>
      </c>
      <c r="C68" s="248">
        <f t="shared" ref="C68:C131" si="10">+C67+1</f>
        <v>66</v>
      </c>
      <c r="D68" s="249">
        <f t="shared" ref="D68:D131" ca="1" si="11">+$D$2+C68</f>
        <v>27108</v>
      </c>
      <c r="E68" s="265">
        <f t="shared" ca="1" si="6"/>
        <v>-0.78183148246820933</v>
      </c>
      <c r="F68" s="251">
        <f t="shared" ca="1" si="7"/>
        <v>0.78183148246803691</v>
      </c>
      <c r="G68" s="252">
        <f t="shared" ca="1" si="8"/>
        <v>0.28173255684176413</v>
      </c>
      <c r="H68" s="246"/>
      <c r="I68" s="246"/>
      <c r="J68" s="246"/>
      <c r="K68" s="246"/>
      <c r="L68" s="246"/>
      <c r="M68" s="246"/>
      <c r="N68" s="246"/>
      <c r="O68" s="246"/>
      <c r="P68" s="282"/>
      <c r="Q68" s="283"/>
      <c r="R68" s="291"/>
      <c r="S68" s="297" t="str">
        <f t="shared" ca="1" si="9"/>
        <v xml:space="preserve"> </v>
      </c>
    </row>
    <row r="69" spans="1:19">
      <c r="A69" s="538"/>
      <c r="B69" s="247">
        <v>9</v>
      </c>
      <c r="C69" s="248">
        <f t="shared" si="10"/>
        <v>67</v>
      </c>
      <c r="D69" s="249">
        <f t="shared" ca="1" si="11"/>
        <v>27109</v>
      </c>
      <c r="E69" s="265">
        <f t="shared" ca="1" si="6"/>
        <v>-0.56332005806412011</v>
      </c>
      <c r="F69" s="251">
        <f t="shared" ca="1" si="7"/>
        <v>0.90096886790232156</v>
      </c>
      <c r="G69" s="252">
        <f t="shared" ca="1" si="8"/>
        <v>9.5056043304811502E-2</v>
      </c>
      <c r="H69" s="246"/>
      <c r="I69" s="246"/>
      <c r="J69" s="246"/>
      <c r="K69" s="246"/>
      <c r="L69" s="246"/>
      <c r="M69" s="246"/>
      <c r="N69" s="246"/>
      <c r="O69" s="246"/>
      <c r="P69" s="282"/>
      <c r="Q69" s="283"/>
      <c r="R69" s="291"/>
      <c r="S69" s="297" t="str">
        <f t="shared" ca="1" si="9"/>
        <v xml:space="preserve"> </v>
      </c>
    </row>
    <row r="70" spans="1:19">
      <c r="A70" s="538"/>
      <c r="B70" s="247">
        <v>10</v>
      </c>
      <c r="C70" s="248">
        <f t="shared" si="10"/>
        <v>68</v>
      </c>
      <c r="D70" s="249">
        <f t="shared" ca="1" si="11"/>
        <v>27110</v>
      </c>
      <c r="E70" s="265">
        <f t="shared" ca="1" si="6"/>
        <v>-0.29475517441091226</v>
      </c>
      <c r="F70" s="251">
        <f t="shared" ca="1" si="7"/>
        <v>0.97492791218192343</v>
      </c>
      <c r="G70" s="252">
        <f t="shared" ca="1" si="8"/>
        <v>-9.5056043304177329E-2</v>
      </c>
      <c r="H70" s="246"/>
      <c r="I70" s="246"/>
      <c r="J70" s="246"/>
      <c r="K70" s="246"/>
      <c r="L70" s="246"/>
      <c r="M70" s="246"/>
      <c r="N70" s="246"/>
      <c r="O70" s="246"/>
      <c r="P70" s="282"/>
      <c r="Q70" s="283"/>
      <c r="R70" s="291"/>
      <c r="S70" s="297" t="str">
        <f t="shared" ca="1" si="9"/>
        <v xml:space="preserve"> </v>
      </c>
    </row>
    <row r="71" spans="1:19">
      <c r="A71" s="538"/>
      <c r="B71" s="247">
        <v>11</v>
      </c>
      <c r="C71" s="248">
        <f t="shared" si="10"/>
        <v>69</v>
      </c>
      <c r="D71" s="249">
        <f t="shared" ca="1" si="11"/>
        <v>27111</v>
      </c>
      <c r="E71" s="265">
        <f t="shared" ca="1" si="6"/>
        <v>-3.2343875841500669E-13</v>
      </c>
      <c r="F71" s="251">
        <f t="shared" ca="1" si="7"/>
        <v>1</v>
      </c>
      <c r="G71" s="252">
        <f t="shared" ca="1" si="8"/>
        <v>-0.28173255684115289</v>
      </c>
      <c r="H71" s="246"/>
      <c r="I71" s="246"/>
      <c r="J71" s="246"/>
      <c r="K71" s="246"/>
      <c r="L71" s="246"/>
      <c r="M71" s="246"/>
      <c r="N71" s="246"/>
      <c r="O71" s="246"/>
      <c r="P71" s="282"/>
      <c r="Q71" s="283"/>
      <c r="R71" s="291"/>
      <c r="S71" s="297" t="str">
        <f t="shared" ca="1" si="9"/>
        <v xml:space="preserve"> </v>
      </c>
    </row>
    <row r="72" spans="1:19">
      <c r="A72" s="538"/>
      <c r="B72" s="247">
        <v>12</v>
      </c>
      <c r="C72" s="248">
        <f t="shared" si="10"/>
        <v>70</v>
      </c>
      <c r="D72" s="249">
        <f t="shared" ca="1" si="11"/>
        <v>27112</v>
      </c>
      <c r="E72" s="265">
        <f t="shared" ca="1" si="6"/>
        <v>0.29475517441029414</v>
      </c>
      <c r="F72" s="251">
        <f t="shared" ca="1" si="7"/>
        <v>0.97492791218203134</v>
      </c>
      <c r="G72" s="252">
        <f t="shared" ca="1" si="8"/>
        <v>-0.45822652172690231</v>
      </c>
      <c r="H72" s="246"/>
      <c r="I72" s="246"/>
      <c r="J72" s="246"/>
      <c r="K72" s="246"/>
      <c r="L72" s="246"/>
      <c r="M72" s="246"/>
      <c r="N72" s="246"/>
      <c r="O72" s="246"/>
      <c r="P72" s="282"/>
      <c r="Q72" s="283"/>
      <c r="R72" s="291"/>
      <c r="S72" s="297" t="str">
        <f t="shared" ca="1" si="9"/>
        <v xml:space="preserve"> </v>
      </c>
    </row>
    <row r="73" spans="1:19">
      <c r="A73" s="538"/>
      <c r="B73" s="247">
        <v>13</v>
      </c>
      <c r="C73" s="248">
        <f t="shared" si="10"/>
        <v>71</v>
      </c>
      <c r="D73" s="249">
        <f t="shared" ca="1" si="11"/>
        <v>27113</v>
      </c>
      <c r="E73" s="265">
        <f t="shared" ca="1" si="6"/>
        <v>0.56332005806358565</v>
      </c>
      <c r="F73" s="251">
        <f t="shared" ca="1" si="7"/>
        <v>0.90096886790253206</v>
      </c>
      <c r="G73" s="252">
        <f t="shared" ca="1" si="8"/>
        <v>-0.61815898622064824</v>
      </c>
      <c r="H73" s="246"/>
      <c r="I73" s="246"/>
      <c r="J73" s="246"/>
      <c r="K73" s="246"/>
      <c r="L73" s="246"/>
      <c r="M73" s="246"/>
      <c r="N73" s="246"/>
      <c r="O73" s="246"/>
      <c r="P73" s="282"/>
      <c r="Q73" s="283"/>
      <c r="R73" s="291"/>
      <c r="S73" s="297" t="str">
        <f t="shared" ca="1" si="9"/>
        <v xml:space="preserve"> </v>
      </c>
    </row>
    <row r="74" spans="1:19">
      <c r="A74" s="538"/>
      <c r="B74" s="247">
        <v>14</v>
      </c>
      <c r="C74" s="248">
        <f t="shared" si="10"/>
        <v>72</v>
      </c>
      <c r="D74" s="249">
        <f t="shared" ca="1" si="11"/>
        <v>27114</v>
      </c>
      <c r="E74" s="265">
        <f t="shared" ca="1" si="6"/>
        <v>0.78183148246780598</v>
      </c>
      <c r="F74" s="251">
        <f t="shared" ca="1" si="7"/>
        <v>0.78183148246833944</v>
      </c>
      <c r="G74" s="252">
        <f t="shared" ca="1" si="8"/>
        <v>-0.75574957435410872</v>
      </c>
      <c r="H74" s="246"/>
      <c r="I74" s="246"/>
      <c r="J74" s="246"/>
      <c r="K74" s="246"/>
      <c r="L74" s="246"/>
      <c r="M74" s="246"/>
      <c r="N74" s="246"/>
      <c r="O74" s="246"/>
      <c r="P74" s="282"/>
      <c r="Q74" s="283"/>
      <c r="R74" s="291"/>
      <c r="S74" s="297" t="str">
        <f t="shared" ca="1" si="9"/>
        <v xml:space="preserve"> </v>
      </c>
    </row>
    <row r="75" spans="1:19">
      <c r="A75" s="538"/>
      <c r="B75" s="247">
        <v>15</v>
      </c>
      <c r="C75" s="248">
        <f t="shared" si="10"/>
        <v>73</v>
      </c>
      <c r="D75" s="249">
        <f t="shared" ca="1" si="11"/>
        <v>27115</v>
      </c>
      <c r="E75" s="265">
        <f t="shared" ca="1" si="6"/>
        <v>0.930873748643958</v>
      </c>
      <c r="F75" s="251">
        <f t="shared" ca="1" si="7"/>
        <v>0.62348980185930658</v>
      </c>
      <c r="G75" s="252">
        <f t="shared" ca="1" si="8"/>
        <v>-0.8660254037841828</v>
      </c>
      <c r="H75" s="246"/>
      <c r="I75" s="246"/>
      <c r="J75" s="246"/>
      <c r="K75" s="246"/>
      <c r="L75" s="246"/>
      <c r="M75" s="246"/>
      <c r="N75" s="246"/>
      <c r="O75" s="246"/>
      <c r="P75" s="282"/>
      <c r="Q75" s="283"/>
      <c r="R75" s="291"/>
      <c r="S75" s="297" t="str">
        <f t="shared" ca="1" si="9"/>
        <v xml:space="preserve"> </v>
      </c>
    </row>
    <row r="76" spans="1:19">
      <c r="A76" s="538"/>
      <c r="B76" s="247">
        <v>16</v>
      </c>
      <c r="C76" s="248">
        <f t="shared" si="10"/>
        <v>74</v>
      </c>
      <c r="D76" s="249">
        <f t="shared" ca="1" si="11"/>
        <v>27116</v>
      </c>
      <c r="E76" s="265">
        <f t="shared" ca="1" si="6"/>
        <v>0.99720379718117425</v>
      </c>
      <c r="F76" s="251">
        <f t="shared" ca="1" si="7"/>
        <v>0.43388373911761186</v>
      </c>
      <c r="G76" s="252">
        <f t="shared" ca="1" si="8"/>
        <v>-0.94500081871470598</v>
      </c>
      <c r="H76" s="246"/>
      <c r="I76" s="246"/>
      <c r="J76" s="246"/>
      <c r="K76" s="246"/>
      <c r="L76" s="246"/>
      <c r="M76" s="246"/>
      <c r="N76" s="246"/>
      <c r="O76" s="246"/>
      <c r="P76" s="282"/>
      <c r="Q76" s="283"/>
      <c r="R76" s="291"/>
      <c r="S76" s="297" t="str">
        <f t="shared" ca="1" si="9"/>
        <v xml:space="preserve"> </v>
      </c>
    </row>
    <row r="77" spans="1:19">
      <c r="A77" s="538"/>
      <c r="B77" s="247">
        <v>17</v>
      </c>
      <c r="C77" s="248">
        <f t="shared" si="10"/>
        <v>75</v>
      </c>
      <c r="D77" s="249">
        <f t="shared" ca="1" si="11"/>
        <v>27117</v>
      </c>
      <c r="E77" s="265">
        <f t="shared" ca="1" si="6"/>
        <v>0.97492791218191144</v>
      </c>
      <c r="F77" s="251">
        <f t="shared" ca="1" si="7"/>
        <v>0.22252093395660291</v>
      </c>
      <c r="G77" s="252">
        <f t="shared" ca="1" si="8"/>
        <v>-0.98982144188090881</v>
      </c>
      <c r="H77" s="246"/>
      <c r="I77" s="246"/>
      <c r="J77" s="246"/>
      <c r="K77" s="246"/>
      <c r="L77" s="246"/>
      <c r="M77" s="246"/>
      <c r="N77" s="246"/>
      <c r="O77" s="246"/>
      <c r="P77" s="282"/>
      <c r="Q77" s="283"/>
      <c r="R77" s="291"/>
      <c r="S77" s="297" t="str">
        <f t="shared" ca="1" si="9"/>
        <v xml:space="preserve"> </v>
      </c>
    </row>
    <row r="78" spans="1:19">
      <c r="A78" s="538"/>
      <c r="B78" s="247">
        <v>18</v>
      </c>
      <c r="C78" s="248">
        <f t="shared" si="10"/>
        <v>76</v>
      </c>
      <c r="D78" s="249">
        <f t="shared" ca="1" si="11"/>
        <v>27118</v>
      </c>
      <c r="E78" s="265">
        <f t="shared" ca="1" si="6"/>
        <v>0.86602540378433868</v>
      </c>
      <c r="F78" s="251">
        <f t="shared" ca="1" si="7"/>
        <v>-3.7730821071668696E-13</v>
      </c>
      <c r="G78" s="252">
        <f t="shared" ca="1" si="8"/>
        <v>-0.9988673391829862</v>
      </c>
      <c r="H78" s="246"/>
      <c r="I78" s="246"/>
      <c r="J78" s="246"/>
      <c r="K78" s="246"/>
      <c r="L78" s="246"/>
      <c r="M78" s="246"/>
      <c r="N78" s="246"/>
      <c r="O78" s="246"/>
      <c r="P78" s="282"/>
      <c r="Q78" s="283"/>
      <c r="R78" s="291"/>
      <c r="S78" s="297" t="str">
        <f t="shared" ca="1" si="9"/>
        <v xml:space="preserve"> </v>
      </c>
    </row>
    <row r="79" spans="1:19">
      <c r="A79" s="538"/>
      <c r="B79" s="247">
        <v>19</v>
      </c>
      <c r="C79" s="248">
        <f t="shared" si="10"/>
        <v>77</v>
      </c>
      <c r="D79" s="249">
        <f t="shared" ca="1" si="11"/>
        <v>27119</v>
      </c>
      <c r="E79" s="265">
        <f t="shared" ca="1" si="6"/>
        <v>0.68017273777100373</v>
      </c>
      <c r="F79" s="251">
        <f t="shared" ca="1" si="7"/>
        <v>-0.22252093395645192</v>
      </c>
      <c r="G79" s="252">
        <f t="shared" ca="1" si="8"/>
        <v>-0.97181156832350046</v>
      </c>
      <c r="H79" s="246"/>
      <c r="I79" s="246"/>
      <c r="J79" s="246"/>
      <c r="K79" s="246"/>
      <c r="L79" s="246"/>
      <c r="M79" s="246"/>
      <c r="N79" s="246"/>
      <c r="O79" s="246"/>
      <c r="P79" s="282"/>
      <c r="Q79" s="283"/>
      <c r="R79" s="291"/>
      <c r="S79" s="297" t="str">
        <f t="shared" ca="1" si="9"/>
        <v xml:space="preserve"> </v>
      </c>
    </row>
    <row r="80" spans="1:19">
      <c r="A80" s="538"/>
      <c r="B80" s="247">
        <v>20</v>
      </c>
      <c r="C80" s="248">
        <f t="shared" si="10"/>
        <v>78</v>
      </c>
      <c r="D80" s="249">
        <f t="shared" ca="1" si="11"/>
        <v>27120</v>
      </c>
      <c r="E80" s="265">
        <f t="shared" ca="1" si="6"/>
        <v>0.43388373911794564</v>
      </c>
      <c r="F80" s="251">
        <f t="shared" ca="1" si="7"/>
        <v>-0.43388373911747236</v>
      </c>
      <c r="G80" s="252">
        <f t="shared" ca="1" si="8"/>
        <v>-0.90963199535456341</v>
      </c>
      <c r="H80" s="246"/>
      <c r="I80" s="246"/>
      <c r="J80" s="246"/>
      <c r="K80" s="246"/>
      <c r="L80" s="246"/>
      <c r="M80" s="246"/>
      <c r="N80" s="246"/>
      <c r="O80" s="246"/>
      <c r="P80" s="282"/>
      <c r="Q80" s="283"/>
      <c r="R80" s="291"/>
      <c r="S80" s="297" t="str">
        <f t="shared" ca="1" si="9"/>
        <v xml:space="preserve"> </v>
      </c>
    </row>
    <row r="81" spans="1:19">
      <c r="A81" s="538"/>
      <c r="B81" s="247">
        <v>21</v>
      </c>
      <c r="C81" s="248">
        <f t="shared" si="10"/>
        <v>79</v>
      </c>
      <c r="D81" s="249">
        <f t="shared" ca="1" si="11"/>
        <v>27121</v>
      </c>
      <c r="E81" s="265">
        <f t="shared" ca="1" si="6"/>
        <v>0.14904226617601193</v>
      </c>
      <c r="F81" s="251">
        <f t="shared" ca="1" si="7"/>
        <v>-0.62348980185918546</v>
      </c>
      <c r="G81" s="252">
        <f t="shared" ca="1" si="8"/>
        <v>-0.81457595205003519</v>
      </c>
      <c r="H81" s="246"/>
      <c r="I81" s="246"/>
      <c r="J81" s="246"/>
      <c r="K81" s="246"/>
      <c r="L81" s="246"/>
      <c r="M81" s="246"/>
      <c r="N81" s="246"/>
      <c r="O81" s="246"/>
      <c r="P81" s="282"/>
      <c r="Q81" s="283"/>
      <c r="R81" s="291"/>
      <c r="S81" s="297" t="str">
        <f t="shared" ca="1" si="9"/>
        <v xml:space="preserve"> </v>
      </c>
    </row>
    <row r="82" spans="1:19">
      <c r="A82" s="538"/>
      <c r="B82" s="247">
        <v>22</v>
      </c>
      <c r="C82" s="248">
        <f t="shared" si="10"/>
        <v>80</v>
      </c>
      <c r="D82" s="249">
        <f t="shared" ca="1" si="11"/>
        <v>27122</v>
      </c>
      <c r="E82" s="265">
        <f t="shared" ca="1" si="6"/>
        <v>-0.14904226617602545</v>
      </c>
      <c r="F82" s="251">
        <f t="shared" ca="1" si="7"/>
        <v>-0.78183148246767586</v>
      </c>
      <c r="G82" s="252">
        <f t="shared" ca="1" si="8"/>
        <v>-0.69007901148194206</v>
      </c>
      <c r="H82" s="246"/>
      <c r="I82" s="246"/>
      <c r="J82" s="246"/>
      <c r="K82" s="246"/>
      <c r="L82" s="246"/>
      <c r="M82" s="246"/>
      <c r="N82" s="246"/>
      <c r="O82" s="246"/>
      <c r="P82" s="282"/>
      <c r="Q82" s="283"/>
      <c r="R82" s="291"/>
      <c r="S82" s="297" t="str">
        <f t="shared" ca="1" si="9"/>
        <v xml:space="preserve"> </v>
      </c>
    </row>
    <row r="83" spans="1:19">
      <c r="A83" s="538"/>
      <c r="B83" s="247">
        <v>23</v>
      </c>
      <c r="C83" s="248">
        <f t="shared" si="10"/>
        <v>81</v>
      </c>
      <c r="D83" s="249">
        <f t="shared" ca="1" si="11"/>
        <v>27123</v>
      </c>
      <c r="E83" s="265">
        <f t="shared" ca="1" si="6"/>
        <v>-0.43388373911713857</v>
      </c>
      <c r="F83" s="251">
        <f t="shared" ca="1" si="7"/>
        <v>-0.90096886790207031</v>
      </c>
      <c r="G83" s="252">
        <f t="shared" ca="1" si="8"/>
        <v>-0.54064081745563819</v>
      </c>
      <c r="H83" s="246"/>
      <c r="I83" s="246"/>
      <c r="J83" s="246"/>
      <c r="K83" s="246"/>
      <c r="L83" s="246"/>
      <c r="M83" s="246"/>
      <c r="N83" s="246"/>
      <c r="O83" s="246"/>
      <c r="P83" s="282"/>
      <c r="Q83" s="283"/>
      <c r="R83" s="291"/>
      <c r="S83" s="297" t="str">
        <f t="shared" ca="1" si="9"/>
        <v xml:space="preserve"> </v>
      </c>
    </row>
    <row r="84" spans="1:19">
      <c r="A84" s="538"/>
      <c r="B84" s="247">
        <v>24</v>
      </c>
      <c r="C84" s="248">
        <f t="shared" si="10"/>
        <v>82</v>
      </c>
      <c r="D84" s="249">
        <f t="shared" ca="1" si="11"/>
        <v>27124</v>
      </c>
      <c r="E84" s="265">
        <f t="shared" ca="1" si="6"/>
        <v>-0.68017273777101384</v>
      </c>
      <c r="F84" s="251">
        <f t="shared" ca="1" si="7"/>
        <v>-0.97492791218179453</v>
      </c>
      <c r="G84" s="252">
        <f t="shared" ca="1" si="8"/>
        <v>-0.37166245566063522</v>
      </c>
      <c r="H84" s="246"/>
      <c r="I84" s="246"/>
      <c r="J84" s="246"/>
      <c r="K84" s="246"/>
      <c r="L84" s="246"/>
      <c r="M84" s="246"/>
      <c r="N84" s="246"/>
      <c r="O84" s="246"/>
      <c r="P84" s="282"/>
      <c r="Q84" s="283"/>
      <c r="R84" s="291"/>
      <c r="S84" s="297" t="str">
        <f t="shared" ca="1" si="9"/>
        <v xml:space="preserve"> </v>
      </c>
    </row>
    <row r="85" spans="1:19">
      <c r="A85" s="538"/>
      <c r="B85" s="247">
        <v>25</v>
      </c>
      <c r="C85" s="248">
        <f t="shared" si="10"/>
        <v>83</v>
      </c>
      <c r="D85" s="249">
        <f t="shared" ca="1" si="11"/>
        <v>27125</v>
      </c>
      <c r="E85" s="265">
        <f t="shared" ca="1" si="6"/>
        <v>-0.86602540378434556</v>
      </c>
      <c r="F85" s="251">
        <f t="shared" ca="1" si="7"/>
        <v>-1</v>
      </c>
      <c r="G85" s="252">
        <f t="shared" ca="1" si="8"/>
        <v>-0.1892512443610137</v>
      </c>
      <c r="H85" s="246"/>
      <c r="I85" s="246"/>
      <c r="J85" s="246"/>
      <c r="K85" s="246"/>
      <c r="L85" s="246"/>
      <c r="M85" s="246"/>
      <c r="N85" s="246"/>
      <c r="O85" s="246"/>
      <c r="P85" s="282"/>
      <c r="Q85" s="283"/>
      <c r="R85" s="291"/>
      <c r="S85" s="297" t="str">
        <f t="shared" ca="1" si="9"/>
        <v xml:space="preserve"> </v>
      </c>
    </row>
    <row r="86" spans="1:19">
      <c r="A86" s="538"/>
      <c r="B86" s="247">
        <v>26</v>
      </c>
      <c r="C86" s="248">
        <f t="shared" si="10"/>
        <v>84</v>
      </c>
      <c r="D86" s="249">
        <f t="shared" ca="1" si="11"/>
        <v>27126</v>
      </c>
      <c r="E86" s="265">
        <f t="shared" ca="1" si="6"/>
        <v>-0.97492791218171204</v>
      </c>
      <c r="F86" s="251">
        <f t="shared" ca="1" si="7"/>
        <v>-0.97492791218195785</v>
      </c>
      <c r="G86" s="252">
        <f t="shared" ca="1" si="8"/>
        <v>-8.9774628703187531E-13</v>
      </c>
      <c r="H86" s="246"/>
      <c r="I86" s="246"/>
      <c r="J86" s="246"/>
      <c r="K86" s="246"/>
      <c r="L86" s="246"/>
      <c r="M86" s="246"/>
      <c r="N86" s="246"/>
      <c r="O86" s="246"/>
      <c r="P86" s="282"/>
      <c r="Q86" s="283"/>
      <c r="R86" s="291"/>
      <c r="S86" s="297" t="str">
        <f t="shared" ca="1" si="9"/>
        <v xml:space="preserve"> </v>
      </c>
    </row>
    <row r="87" spans="1:19">
      <c r="A87" s="538"/>
      <c r="B87" s="247">
        <v>27</v>
      </c>
      <c r="C87" s="248">
        <f t="shared" si="10"/>
        <v>85</v>
      </c>
      <c r="D87" s="249">
        <f t="shared" ca="1" si="11"/>
        <v>27127</v>
      </c>
      <c r="E87" s="265">
        <f t="shared" ca="1" si="6"/>
        <v>-0.99720379718117313</v>
      </c>
      <c r="F87" s="251">
        <f t="shared" ca="1" si="7"/>
        <v>-0.90096886790238884</v>
      </c>
      <c r="G87" s="252">
        <f t="shared" ca="1" si="8"/>
        <v>0.18925124436014371</v>
      </c>
      <c r="H87" s="246"/>
      <c r="I87" s="246"/>
      <c r="J87" s="246"/>
      <c r="K87" s="246"/>
      <c r="L87" s="246"/>
      <c r="M87" s="246"/>
      <c r="N87" s="246"/>
      <c r="O87" s="246"/>
      <c r="P87" s="282"/>
      <c r="Q87" s="283"/>
      <c r="R87" s="291"/>
      <c r="S87" s="297" t="str">
        <f t="shared" ca="1" si="9"/>
        <v xml:space="preserve"> </v>
      </c>
    </row>
    <row r="88" spans="1:19">
      <c r="A88" s="538"/>
      <c r="B88" s="247">
        <v>28</v>
      </c>
      <c r="C88" s="248">
        <f t="shared" si="10"/>
        <v>86</v>
      </c>
      <c r="D88" s="249">
        <f t="shared" ca="1" si="11"/>
        <v>27128</v>
      </c>
      <c r="E88" s="265">
        <f t="shared" ca="1" si="6"/>
        <v>-0.93087374864428529</v>
      </c>
      <c r="F88" s="251">
        <f t="shared" ca="1" si="7"/>
        <v>-0.7818314824681335</v>
      </c>
      <c r="G88" s="252">
        <f t="shared" ca="1" si="8"/>
        <v>0.37166245565981271</v>
      </c>
      <c r="H88" s="246"/>
      <c r="I88" s="246"/>
      <c r="J88" s="246"/>
      <c r="K88" s="246"/>
      <c r="L88" s="246"/>
      <c r="M88" s="246"/>
      <c r="N88" s="246"/>
      <c r="O88" s="246"/>
      <c r="P88" s="282"/>
      <c r="Q88" s="283"/>
      <c r="R88" s="291"/>
      <c r="S88" s="297" t="str">
        <f t="shared" ca="1" si="9"/>
        <v xml:space="preserve"> </v>
      </c>
    </row>
    <row r="89" spans="1:19">
      <c r="A89" s="538"/>
      <c r="B89" s="247">
        <v>29</v>
      </c>
      <c r="C89" s="248">
        <f t="shared" si="10"/>
        <v>87</v>
      </c>
      <c r="D89" s="249">
        <f t="shared" ca="1" si="11"/>
        <v>27129</v>
      </c>
      <c r="E89" s="265">
        <f t="shared" ca="1" si="6"/>
        <v>-0.78183148246836454</v>
      </c>
      <c r="F89" s="251">
        <f t="shared" ca="1" si="7"/>
        <v>-0.62348980185904834</v>
      </c>
      <c r="G89" s="252">
        <f t="shared" ca="1" si="8"/>
        <v>0.5406408174548929</v>
      </c>
      <c r="H89" s="246"/>
      <c r="I89" s="246"/>
      <c r="J89" s="246"/>
      <c r="K89" s="246"/>
      <c r="L89" s="246"/>
      <c r="M89" s="246"/>
      <c r="N89" s="246"/>
      <c r="O89" s="246"/>
      <c r="P89" s="282"/>
      <c r="Q89" s="283"/>
      <c r="R89" s="291"/>
      <c r="S89" s="297" t="str">
        <f t="shared" ca="1" si="9"/>
        <v xml:space="preserve"> </v>
      </c>
    </row>
    <row r="90" spans="1:19">
      <c r="A90" s="538"/>
      <c r="B90" s="247">
        <v>30</v>
      </c>
      <c r="C90" s="248">
        <f t="shared" si="10"/>
        <v>88</v>
      </c>
      <c r="D90" s="249">
        <f t="shared" ca="1" si="11"/>
        <v>27130</v>
      </c>
      <c r="E90" s="265">
        <f t="shared" ca="1" si="6"/>
        <v>-0.56332005806357444</v>
      </c>
      <c r="F90" s="251">
        <f t="shared" ca="1" si="7"/>
        <v>-0.43388373911731432</v>
      </c>
      <c r="G90" s="252">
        <f t="shared" ca="1" si="8"/>
        <v>0.69007901148195905</v>
      </c>
      <c r="H90" s="246"/>
      <c r="I90" s="246"/>
      <c r="J90" s="246"/>
      <c r="K90" s="246"/>
      <c r="L90" s="246"/>
      <c r="M90" s="246"/>
      <c r="N90" s="246"/>
      <c r="O90" s="246"/>
      <c r="P90" s="282"/>
      <c r="Q90" s="283"/>
      <c r="R90" s="291"/>
      <c r="S90" s="297" t="str">
        <f t="shared" ca="1" si="9"/>
        <v xml:space="preserve"> </v>
      </c>
    </row>
    <row r="91" spans="1:19" ht="13.5" thickBot="1">
      <c r="A91" s="539"/>
      <c r="B91" s="253">
        <v>31</v>
      </c>
      <c r="C91" s="254">
        <f t="shared" si="10"/>
        <v>89</v>
      </c>
      <c r="D91" s="255">
        <f t="shared" ca="1" si="11"/>
        <v>27131</v>
      </c>
      <c r="E91" s="266">
        <f t="shared" ca="1" si="6"/>
        <v>-0.29475517441115012</v>
      </c>
      <c r="F91" s="257">
        <f t="shared" ca="1" si="7"/>
        <v>-0.22252093395628092</v>
      </c>
      <c r="G91" s="258">
        <f t="shared" ca="1" si="8"/>
        <v>0.81457595205004885</v>
      </c>
      <c r="H91" s="246"/>
      <c r="I91" s="246"/>
      <c r="J91" s="246"/>
      <c r="K91" s="246"/>
      <c r="L91" s="246"/>
      <c r="M91" s="246"/>
      <c r="N91" s="246"/>
      <c r="O91" s="246"/>
      <c r="P91" s="284"/>
      <c r="Q91" s="285"/>
      <c r="R91" s="292"/>
      <c r="S91" s="298" t="str">
        <f t="shared" ca="1" si="9"/>
        <v xml:space="preserve"> </v>
      </c>
    </row>
    <row r="92" spans="1:19">
      <c r="A92" s="540" t="s">
        <v>276</v>
      </c>
      <c r="B92" s="259">
        <v>1</v>
      </c>
      <c r="C92" s="260">
        <f t="shared" si="10"/>
        <v>90</v>
      </c>
      <c r="D92" s="261">
        <f t="shared" ca="1" si="11"/>
        <v>27132</v>
      </c>
      <c r="E92" s="262">
        <f t="shared" ca="1" si="6"/>
        <v>-5.7237374562202348E-13</v>
      </c>
      <c r="F92" s="263">
        <f t="shared" ca="1" si="7"/>
        <v>-1.1114013355462138E-12</v>
      </c>
      <c r="G92" s="264">
        <f t="shared" ca="1" si="8"/>
        <v>0.90963199535419537</v>
      </c>
      <c r="H92" s="246"/>
      <c r="I92" s="246"/>
      <c r="J92" s="246"/>
      <c r="K92" s="246"/>
      <c r="L92" s="246"/>
      <c r="M92" s="246"/>
      <c r="N92" s="246"/>
      <c r="O92" s="246"/>
      <c r="P92" s="280"/>
      <c r="Q92" s="281"/>
      <c r="R92" s="290"/>
      <c r="S92" s="296" t="str">
        <f t="shared" ca="1" si="9"/>
        <v xml:space="preserve"> </v>
      </c>
    </row>
    <row r="93" spans="1:19">
      <c r="A93" s="538"/>
      <c r="B93" s="247">
        <v>2</v>
      </c>
      <c r="C93" s="248">
        <f t="shared" si="10"/>
        <v>91</v>
      </c>
      <c r="D93" s="249">
        <f t="shared" ca="1" si="11"/>
        <v>27133</v>
      </c>
      <c r="E93" s="265">
        <f t="shared" ca="1" si="6"/>
        <v>0.29475517441092536</v>
      </c>
      <c r="F93" s="251">
        <f t="shared" ca="1" si="7"/>
        <v>0.22252093395588721</v>
      </c>
      <c r="G93" s="252">
        <f t="shared" ca="1" si="8"/>
        <v>0.97181156832350601</v>
      </c>
      <c r="H93" s="246"/>
      <c r="I93" s="246"/>
      <c r="J93" s="246"/>
      <c r="K93" s="246"/>
      <c r="L93" s="246"/>
      <c r="M93" s="246"/>
      <c r="N93" s="246"/>
      <c r="O93" s="246"/>
      <c r="P93" s="282"/>
      <c r="Q93" s="283"/>
      <c r="R93" s="291"/>
      <c r="S93" s="297" t="str">
        <f t="shared" ca="1" si="9"/>
        <v xml:space="preserve"> </v>
      </c>
    </row>
    <row r="94" spans="1:19">
      <c r="A94" s="538"/>
      <c r="B94" s="247">
        <v>3</v>
      </c>
      <c r="C94" s="248">
        <f t="shared" si="10"/>
        <v>92</v>
      </c>
      <c r="D94" s="249">
        <f t="shared" ca="1" si="11"/>
        <v>27134</v>
      </c>
      <c r="E94" s="265">
        <f t="shared" ca="1" si="6"/>
        <v>0.56332005806338004</v>
      </c>
      <c r="F94" s="251">
        <f t="shared" ca="1" si="7"/>
        <v>0.4338837391169505</v>
      </c>
      <c r="G94" s="252">
        <f t="shared" ca="1" si="8"/>
        <v>0.99886733918298731</v>
      </c>
      <c r="H94" s="246"/>
      <c r="I94" s="246"/>
      <c r="J94" s="246"/>
      <c r="K94" s="246"/>
      <c r="L94" s="246"/>
      <c r="M94" s="246"/>
      <c r="N94" s="246"/>
      <c r="O94" s="246"/>
      <c r="P94" s="282"/>
      <c r="Q94" s="283"/>
      <c r="R94" s="291"/>
      <c r="S94" s="297" t="str">
        <f t="shared" ca="1" si="9"/>
        <v xml:space="preserve"> </v>
      </c>
    </row>
    <row r="95" spans="1:19">
      <c r="A95" s="538"/>
      <c r="B95" s="247">
        <v>4</v>
      </c>
      <c r="C95" s="248">
        <f t="shared" si="10"/>
        <v>93</v>
      </c>
      <c r="D95" s="249">
        <f t="shared" ca="1" si="11"/>
        <v>27135</v>
      </c>
      <c r="E95" s="265">
        <f t="shared" ca="1" si="6"/>
        <v>0.78183148246821788</v>
      </c>
      <c r="F95" s="251">
        <f t="shared" ca="1" si="7"/>
        <v>0.6234898018587326</v>
      </c>
      <c r="G95" s="252">
        <f t="shared" ca="1" si="8"/>
        <v>0.98982144188090537</v>
      </c>
      <c r="H95" s="246"/>
      <c r="I95" s="246"/>
      <c r="J95" s="246"/>
      <c r="K95" s="246"/>
      <c r="L95" s="246"/>
      <c r="M95" s="246"/>
      <c r="N95" s="246"/>
      <c r="O95" s="246"/>
      <c r="P95" s="282"/>
      <c r="Q95" s="283"/>
      <c r="R95" s="291"/>
      <c r="S95" s="297" t="str">
        <f t="shared" ca="1" si="9"/>
        <v>&lt;----OK</v>
      </c>
    </row>
    <row r="96" spans="1:19">
      <c r="A96" s="538"/>
      <c r="B96" s="247">
        <v>5</v>
      </c>
      <c r="C96" s="248">
        <f t="shared" si="10"/>
        <v>94</v>
      </c>
      <c r="D96" s="249">
        <f t="shared" ca="1" si="11"/>
        <v>27136</v>
      </c>
      <c r="E96" s="265">
        <f t="shared" ca="1" si="6"/>
        <v>0.93087374864419936</v>
      </c>
      <c r="F96" s="251">
        <f t="shared" ca="1" si="7"/>
        <v>0.7818314824678817</v>
      </c>
      <c r="G96" s="252">
        <f t="shared" ca="1" si="8"/>
        <v>0.94500081871469832</v>
      </c>
      <c r="H96" s="246"/>
      <c r="I96" s="246"/>
      <c r="J96" s="246"/>
      <c r="K96" s="246"/>
      <c r="L96" s="246"/>
      <c r="M96" s="246"/>
      <c r="N96" s="246"/>
      <c r="O96" s="246"/>
      <c r="P96" s="282"/>
      <c r="Q96" s="283"/>
      <c r="R96" s="291"/>
      <c r="S96" s="297" t="str">
        <f t="shared" ca="1" si="9"/>
        <v>&lt;----OK</v>
      </c>
    </row>
    <row r="97" spans="1:19">
      <c r="A97" s="538"/>
      <c r="B97" s="247">
        <v>6</v>
      </c>
      <c r="C97" s="248">
        <f t="shared" si="10"/>
        <v>95</v>
      </c>
      <c r="D97" s="249">
        <f t="shared" ca="1" si="11"/>
        <v>27137</v>
      </c>
      <c r="E97" s="265">
        <f t="shared" ca="1" si="6"/>
        <v>0.99720379718115559</v>
      </c>
      <c r="F97" s="251">
        <f t="shared" ca="1" si="7"/>
        <v>0.90096886790221353</v>
      </c>
      <c r="G97" s="252">
        <f t="shared" ca="1" si="8"/>
        <v>0.86602540378462589</v>
      </c>
      <c r="H97" s="246"/>
      <c r="I97" s="246"/>
      <c r="J97" s="246"/>
      <c r="K97" s="246"/>
      <c r="L97" s="246"/>
      <c r="M97" s="246"/>
      <c r="N97" s="246"/>
      <c r="O97" s="246"/>
      <c r="P97" s="282"/>
      <c r="Q97" s="283"/>
      <c r="R97" s="291"/>
      <c r="S97" s="297" t="str">
        <f t="shared" ca="1" si="9"/>
        <v>&lt;----OK</v>
      </c>
    </row>
    <row r="98" spans="1:19">
      <c r="A98" s="538"/>
      <c r="B98" s="247">
        <v>7</v>
      </c>
      <c r="C98" s="248">
        <f t="shared" si="10"/>
        <v>96</v>
      </c>
      <c r="D98" s="249">
        <f t="shared" ca="1" si="11"/>
        <v>27138</v>
      </c>
      <c r="E98" s="265">
        <f t="shared" ca="1" si="6"/>
        <v>0.97492791218176444</v>
      </c>
      <c r="F98" s="251">
        <f t="shared" ca="1" si="7"/>
        <v>0.97492791218186803</v>
      </c>
      <c r="G98" s="252">
        <f t="shared" ca="1" si="8"/>
        <v>0.75574957435409329</v>
      </c>
      <c r="H98" s="246"/>
      <c r="I98" s="246"/>
      <c r="J98" s="246"/>
      <c r="K98" s="246"/>
      <c r="L98" s="246"/>
      <c r="M98" s="246"/>
      <c r="N98" s="246"/>
      <c r="O98" s="246"/>
      <c r="P98" s="282"/>
      <c r="Q98" s="283"/>
      <c r="R98" s="291"/>
      <c r="S98" s="297" t="str">
        <f t="shared" ca="1" si="9"/>
        <v>&lt;----OK</v>
      </c>
    </row>
    <row r="99" spans="1:19">
      <c r="A99" s="538"/>
      <c r="B99" s="247">
        <v>8</v>
      </c>
      <c r="C99" s="248">
        <f t="shared" si="10"/>
        <v>97</v>
      </c>
      <c r="D99" s="249">
        <f t="shared" ca="1" si="11"/>
        <v>27139</v>
      </c>
      <c r="E99" s="265">
        <f t="shared" ca="1" si="6"/>
        <v>0.86602540378446313</v>
      </c>
      <c r="F99" s="251">
        <f t="shared" ca="1" si="7"/>
        <v>1</v>
      </c>
      <c r="G99" s="252">
        <f t="shared" ca="1" si="8"/>
        <v>0.6181589862206297</v>
      </c>
      <c r="H99" s="246"/>
      <c r="I99" s="246"/>
      <c r="J99" s="246"/>
      <c r="K99" s="246"/>
      <c r="L99" s="246"/>
      <c r="M99" s="246"/>
      <c r="N99" s="246"/>
      <c r="O99" s="246"/>
      <c r="P99" s="282"/>
      <c r="Q99" s="283"/>
      <c r="R99" s="291"/>
      <c r="S99" s="297" t="str">
        <f t="shared" ca="1" si="9"/>
        <v>&lt;----OK</v>
      </c>
    </row>
    <row r="100" spans="1:19">
      <c r="A100" s="538"/>
      <c r="B100" s="247">
        <v>9</v>
      </c>
      <c r="C100" s="248">
        <f t="shared" si="10"/>
        <v>98</v>
      </c>
      <c r="D100" s="249">
        <f t="shared" ca="1" si="11"/>
        <v>27140</v>
      </c>
      <c r="E100" s="265">
        <f t="shared" ca="1" si="6"/>
        <v>0.68017273777118625</v>
      </c>
      <c r="F100" s="251">
        <f t="shared" ca="1" si="7"/>
        <v>0.97492791218188435</v>
      </c>
      <c r="G100" s="252">
        <f t="shared" ca="1" si="8"/>
        <v>0.4582265217276898</v>
      </c>
      <c r="H100" s="246"/>
      <c r="I100" s="246"/>
      <c r="J100" s="246"/>
      <c r="K100" s="246"/>
      <c r="L100" s="246"/>
      <c r="M100" s="246"/>
      <c r="N100" s="246"/>
      <c r="O100" s="246"/>
      <c r="P100" s="282"/>
      <c r="Q100" s="283"/>
      <c r="R100" s="291"/>
      <c r="S100" s="297" t="str">
        <f t="shared" ca="1" si="9"/>
        <v xml:space="preserve"> </v>
      </c>
    </row>
    <row r="101" spans="1:19">
      <c r="A101" s="538"/>
      <c r="B101" s="247">
        <v>10</v>
      </c>
      <c r="C101" s="248">
        <f t="shared" si="10"/>
        <v>99</v>
      </c>
      <c r="D101" s="249">
        <f t="shared" ca="1" si="11"/>
        <v>27141</v>
      </c>
      <c r="E101" s="265">
        <f t="shared" ca="1" si="6"/>
        <v>0.43388373911735051</v>
      </c>
      <c r="F101" s="251">
        <f t="shared" ca="1" si="7"/>
        <v>0.90096886790224551</v>
      </c>
      <c r="G101" s="252">
        <f t="shared" ca="1" si="8"/>
        <v>0.28173255684113035</v>
      </c>
      <c r="H101" s="246"/>
      <c r="I101" s="246"/>
      <c r="J101" s="246"/>
      <c r="K101" s="246"/>
      <c r="L101" s="246"/>
      <c r="M101" s="246"/>
      <c r="N101" s="246"/>
      <c r="O101" s="246"/>
      <c r="P101" s="282"/>
      <c r="Q101" s="283"/>
      <c r="R101" s="291"/>
      <c r="S101" s="297" t="str">
        <f t="shared" ca="1" si="9"/>
        <v xml:space="preserve"> </v>
      </c>
    </row>
    <row r="102" spans="1:19">
      <c r="A102" s="538"/>
      <c r="B102" s="247">
        <v>11</v>
      </c>
      <c r="C102" s="248">
        <f t="shared" si="10"/>
        <v>100</v>
      </c>
      <c r="D102" s="249">
        <f t="shared" ca="1" si="11"/>
        <v>27142</v>
      </c>
      <c r="E102" s="265">
        <f t="shared" ca="1" si="6"/>
        <v>0.1490422661762581</v>
      </c>
      <c r="F102" s="251">
        <f t="shared" ca="1" si="7"/>
        <v>0.78183148246792755</v>
      </c>
      <c r="G102" s="252">
        <f t="shared" ca="1" si="8"/>
        <v>9.5056043304153945E-2</v>
      </c>
      <c r="H102" s="246"/>
      <c r="I102" s="246"/>
      <c r="J102" s="246"/>
      <c r="K102" s="246"/>
      <c r="L102" s="246"/>
      <c r="M102" s="246"/>
      <c r="N102" s="246"/>
      <c r="O102" s="246"/>
      <c r="P102" s="282"/>
      <c r="Q102" s="283"/>
      <c r="R102" s="291"/>
      <c r="S102" s="297" t="str">
        <f t="shared" ca="1" si="9"/>
        <v xml:space="preserve"> </v>
      </c>
    </row>
    <row r="103" spans="1:19">
      <c r="A103" s="538"/>
      <c r="B103" s="247">
        <v>12</v>
      </c>
      <c r="C103" s="248">
        <f t="shared" si="10"/>
        <v>101</v>
      </c>
      <c r="D103" s="249">
        <f t="shared" ca="1" si="11"/>
        <v>27143</v>
      </c>
      <c r="E103" s="265">
        <f t="shared" ca="1" si="6"/>
        <v>-0.14904226617577931</v>
      </c>
      <c r="F103" s="251">
        <f t="shared" ca="1" si="7"/>
        <v>0.6234898018595012</v>
      </c>
      <c r="G103" s="252">
        <f t="shared" ca="1" si="8"/>
        <v>-9.5056043303929527E-2</v>
      </c>
      <c r="H103" s="246"/>
      <c r="I103" s="246"/>
      <c r="J103" s="246"/>
      <c r="K103" s="246"/>
      <c r="L103" s="246"/>
      <c r="M103" s="246"/>
      <c r="N103" s="246"/>
      <c r="O103" s="246"/>
      <c r="P103" s="282"/>
      <c r="Q103" s="283"/>
      <c r="R103" s="291"/>
      <c r="S103" s="297" t="str">
        <f t="shared" ca="1" si="9"/>
        <v xml:space="preserve"> </v>
      </c>
    </row>
    <row r="104" spans="1:19">
      <c r="A104" s="538"/>
      <c r="B104" s="247">
        <v>13</v>
      </c>
      <c r="C104" s="248">
        <f t="shared" si="10"/>
        <v>102</v>
      </c>
      <c r="D104" s="249">
        <f t="shared" ca="1" si="11"/>
        <v>27144</v>
      </c>
      <c r="E104" s="265">
        <f t="shared" ca="1" si="6"/>
        <v>-0.4338837391177337</v>
      </c>
      <c r="F104" s="251">
        <f t="shared" ca="1" si="7"/>
        <v>0.43388373911783618</v>
      </c>
      <c r="G104" s="252">
        <f t="shared" ca="1" si="8"/>
        <v>-0.28173255684178666</v>
      </c>
      <c r="H104" s="246"/>
      <c r="I104" s="246"/>
      <c r="J104" s="246"/>
      <c r="K104" s="246"/>
      <c r="L104" s="246"/>
      <c r="M104" s="246"/>
      <c r="N104" s="246"/>
      <c r="O104" s="246"/>
      <c r="P104" s="282"/>
      <c r="Q104" s="283"/>
      <c r="R104" s="291"/>
      <c r="S104" s="297" t="str">
        <f t="shared" ca="1" si="9"/>
        <v xml:space="preserve"> </v>
      </c>
    </row>
    <row r="105" spans="1:19">
      <c r="A105" s="538"/>
      <c r="B105" s="247">
        <v>14</v>
      </c>
      <c r="C105" s="248">
        <f t="shared" si="10"/>
        <v>103</v>
      </c>
      <c r="D105" s="249">
        <f t="shared" ca="1" si="11"/>
        <v>27145</v>
      </c>
      <c r="E105" s="265">
        <f t="shared" ca="1" si="6"/>
        <v>-0.68017273777083131</v>
      </c>
      <c r="F105" s="251">
        <f t="shared" ca="1" si="7"/>
        <v>0.22252093395684561</v>
      </c>
      <c r="G105" s="252">
        <f t="shared" ca="1" si="8"/>
        <v>-0.4582265217274894</v>
      </c>
      <c r="H105" s="246"/>
      <c r="I105" s="246"/>
      <c r="J105" s="246"/>
      <c r="K105" s="246"/>
      <c r="L105" s="246"/>
      <c r="M105" s="246"/>
      <c r="N105" s="246"/>
      <c r="O105" s="246"/>
      <c r="P105" s="282"/>
      <c r="Q105" s="283"/>
      <c r="R105" s="291"/>
      <c r="S105" s="297" t="str">
        <f t="shared" ca="1" si="9"/>
        <v xml:space="preserve"> </v>
      </c>
    </row>
    <row r="106" spans="1:19">
      <c r="A106" s="538"/>
      <c r="B106" s="247">
        <v>15</v>
      </c>
      <c r="C106" s="248">
        <f t="shared" si="10"/>
        <v>104</v>
      </c>
      <c r="D106" s="249">
        <f t="shared" ca="1" si="11"/>
        <v>27146</v>
      </c>
      <c r="E106" s="265">
        <f t="shared" ca="1" si="6"/>
        <v>-0.8660254037842211</v>
      </c>
      <c r="F106" s="251">
        <f t="shared" ca="1" si="7"/>
        <v>7.8112147826325806E-13</v>
      </c>
      <c r="G106" s="252">
        <f t="shared" ca="1" si="8"/>
        <v>-0.61815898622045251</v>
      </c>
      <c r="H106" s="246"/>
      <c r="I106" s="246"/>
      <c r="J106" s="246"/>
      <c r="K106" s="246"/>
      <c r="L106" s="246"/>
      <c r="M106" s="246"/>
      <c r="N106" s="246"/>
      <c r="O106" s="246"/>
      <c r="P106" s="282"/>
      <c r="Q106" s="283"/>
      <c r="R106" s="291"/>
      <c r="S106" s="297" t="str">
        <f t="shared" ca="1" si="9"/>
        <v xml:space="preserve"> </v>
      </c>
    </row>
    <row r="107" spans="1:19">
      <c r="A107" s="538"/>
      <c r="B107" s="247">
        <v>16</v>
      </c>
      <c r="C107" s="248">
        <f t="shared" si="10"/>
        <v>105</v>
      </c>
      <c r="D107" s="249">
        <f t="shared" ca="1" si="11"/>
        <v>27147</v>
      </c>
      <c r="E107" s="265">
        <f t="shared" ca="1" si="6"/>
        <v>-0.97492791218185904</v>
      </c>
      <c r="F107" s="251">
        <f t="shared" ca="1" si="7"/>
        <v>-0.22252093395620923</v>
      </c>
      <c r="G107" s="252">
        <f t="shared" ca="1" si="8"/>
        <v>-0.75574957435454126</v>
      </c>
      <c r="H107" s="246"/>
      <c r="I107" s="246"/>
      <c r="J107" s="246"/>
      <c r="K107" s="246"/>
      <c r="L107" s="246"/>
      <c r="M107" s="246"/>
      <c r="N107" s="246"/>
      <c r="O107" s="246"/>
      <c r="P107" s="282"/>
      <c r="Q107" s="283"/>
      <c r="R107" s="291"/>
      <c r="S107" s="297" t="str">
        <f t="shared" ca="1" si="9"/>
        <v xml:space="preserve"> </v>
      </c>
    </row>
    <row r="108" spans="1:19">
      <c r="A108" s="538"/>
      <c r="B108" s="247">
        <v>17</v>
      </c>
      <c r="C108" s="248">
        <f t="shared" si="10"/>
        <v>106</v>
      </c>
      <c r="D108" s="249">
        <f t="shared" ca="1" si="11"/>
        <v>27148</v>
      </c>
      <c r="E108" s="265">
        <f t="shared" ca="1" si="6"/>
        <v>-0.99720379718119179</v>
      </c>
      <c r="F108" s="251">
        <f t="shared" ca="1" si="7"/>
        <v>-0.43388373911724804</v>
      </c>
      <c r="G108" s="252">
        <f t="shared" ca="1" si="8"/>
        <v>-0.86602540378451309</v>
      </c>
      <c r="H108" s="246"/>
      <c r="I108" s="246"/>
      <c r="J108" s="246"/>
      <c r="K108" s="246"/>
      <c r="L108" s="246"/>
      <c r="M108" s="246"/>
      <c r="N108" s="246"/>
      <c r="O108" s="246"/>
      <c r="P108" s="282"/>
      <c r="Q108" s="283"/>
      <c r="R108" s="291"/>
      <c r="S108" s="297" t="str">
        <f t="shared" ca="1" si="9"/>
        <v xml:space="preserve"> </v>
      </c>
    </row>
    <row r="109" spans="1:19">
      <c r="A109" s="538"/>
      <c r="B109" s="247">
        <v>18</v>
      </c>
      <c r="C109" s="248">
        <f t="shared" si="10"/>
        <v>107</v>
      </c>
      <c r="D109" s="249">
        <f t="shared" ca="1" si="11"/>
        <v>27149</v>
      </c>
      <c r="E109" s="265">
        <f t="shared" ca="1" si="6"/>
        <v>-0.93087374864470851</v>
      </c>
      <c r="F109" s="251">
        <f t="shared" ca="1" si="7"/>
        <v>-0.62348980185827974</v>
      </c>
      <c r="G109" s="252">
        <f t="shared" ca="1" si="8"/>
        <v>-0.94500081871432717</v>
      </c>
      <c r="H109" s="246"/>
      <c r="I109" s="246"/>
      <c r="J109" s="246"/>
      <c r="K109" s="246"/>
      <c r="L109" s="246"/>
      <c r="M109" s="246"/>
      <c r="N109" s="246"/>
      <c r="O109" s="246"/>
      <c r="P109" s="282"/>
      <c r="Q109" s="283"/>
      <c r="R109" s="291"/>
      <c r="S109" s="297" t="str">
        <f t="shared" ca="1" si="9"/>
        <v>&lt;XXX&gt;</v>
      </c>
    </row>
    <row r="110" spans="1:19">
      <c r="A110" s="538"/>
      <c r="B110" s="247">
        <v>19</v>
      </c>
      <c r="C110" s="248">
        <f t="shared" si="10"/>
        <v>108</v>
      </c>
      <c r="D110" s="249">
        <f t="shared" ca="1" si="11"/>
        <v>27150</v>
      </c>
      <c r="E110" s="265">
        <f t="shared" ca="1" si="6"/>
        <v>-0.78183148246795264</v>
      </c>
      <c r="F110" s="251">
        <f t="shared" ca="1" si="7"/>
        <v>-0.78183148246808765</v>
      </c>
      <c r="G110" s="252">
        <f t="shared" ca="1" si="8"/>
        <v>-0.98982144188087329</v>
      </c>
      <c r="H110" s="246"/>
      <c r="I110" s="246"/>
      <c r="J110" s="246"/>
      <c r="K110" s="246"/>
      <c r="L110" s="246"/>
      <c r="M110" s="246"/>
      <c r="N110" s="246"/>
      <c r="O110" s="246"/>
      <c r="P110" s="282"/>
      <c r="Q110" s="283"/>
      <c r="R110" s="291"/>
      <c r="S110" s="297" t="str">
        <f t="shared" ca="1" si="9"/>
        <v>&lt;XXX&gt;</v>
      </c>
    </row>
    <row r="111" spans="1:19">
      <c r="A111" s="538"/>
      <c r="B111" s="247">
        <v>20</v>
      </c>
      <c r="C111" s="248">
        <f t="shared" si="10"/>
        <v>109</v>
      </c>
      <c r="D111" s="249">
        <f t="shared" ca="1" si="11"/>
        <v>27151</v>
      </c>
      <c r="E111" s="265">
        <f t="shared" ca="1" si="6"/>
        <v>-0.56332005806378005</v>
      </c>
      <c r="F111" s="251">
        <f t="shared" ca="1" si="7"/>
        <v>-0.90096886790235686</v>
      </c>
      <c r="G111" s="252">
        <f t="shared" ca="1" si="8"/>
        <v>-0.99886733918304127</v>
      </c>
      <c r="H111" s="246"/>
      <c r="I111" s="246"/>
      <c r="J111" s="246"/>
      <c r="K111" s="246"/>
      <c r="L111" s="246"/>
      <c r="M111" s="246"/>
      <c r="N111" s="246"/>
      <c r="O111" s="246"/>
      <c r="P111" s="282"/>
      <c r="Q111" s="283"/>
      <c r="R111" s="291"/>
      <c r="S111" s="297" t="str">
        <f t="shared" ca="1" si="9"/>
        <v xml:space="preserve"> </v>
      </c>
    </row>
    <row r="112" spans="1:19">
      <c r="A112" s="538"/>
      <c r="B112" s="247">
        <v>21</v>
      </c>
      <c r="C112" s="248">
        <f t="shared" si="10"/>
        <v>110</v>
      </c>
      <c r="D112" s="249">
        <f t="shared" ca="1" si="11"/>
        <v>27152</v>
      </c>
      <c r="E112" s="265">
        <f t="shared" ca="1" si="6"/>
        <v>-0.29475517441051891</v>
      </c>
      <c r="F112" s="251">
        <f t="shared" ca="1" si="7"/>
        <v>-0.97492791218194153</v>
      </c>
      <c r="G112" s="252">
        <f t="shared" ca="1" si="8"/>
        <v>-0.97181156832355919</v>
      </c>
      <c r="H112" s="246"/>
      <c r="I112" s="246"/>
      <c r="J112" s="246"/>
      <c r="K112" s="246"/>
      <c r="L112" s="246"/>
      <c r="M112" s="246"/>
      <c r="N112" s="246"/>
      <c r="O112" s="246"/>
      <c r="P112" s="282"/>
      <c r="Q112" s="283"/>
      <c r="R112" s="291"/>
      <c r="S112" s="297" t="str">
        <f t="shared" ca="1" si="9"/>
        <v xml:space="preserve"> </v>
      </c>
    </row>
    <row r="113" spans="1:19">
      <c r="A113" s="538"/>
      <c r="B113" s="247">
        <v>22</v>
      </c>
      <c r="C113" s="248">
        <f t="shared" si="10"/>
        <v>111</v>
      </c>
      <c r="D113" s="249">
        <f t="shared" ca="1" si="11"/>
        <v>27153</v>
      </c>
      <c r="E113" s="265">
        <f t="shared" ca="1" si="6"/>
        <v>8.8185968943887971E-14</v>
      </c>
      <c r="F113" s="251">
        <f t="shared" ca="1" si="7"/>
        <v>-1</v>
      </c>
      <c r="G113" s="252">
        <f t="shared" ca="1" si="8"/>
        <v>-0.90963199535466677</v>
      </c>
      <c r="H113" s="246"/>
      <c r="I113" s="246"/>
      <c r="J113" s="246"/>
      <c r="K113" s="246"/>
      <c r="L113" s="246"/>
      <c r="M113" s="246"/>
      <c r="N113" s="246"/>
      <c r="O113" s="246"/>
      <c r="P113" s="282"/>
      <c r="Q113" s="283"/>
      <c r="R113" s="291"/>
      <c r="S113" s="297" t="str">
        <f t="shared" ca="1" si="9"/>
        <v xml:space="preserve"> </v>
      </c>
    </row>
    <row r="114" spans="1:19">
      <c r="A114" s="538"/>
      <c r="B114" s="247">
        <v>23</v>
      </c>
      <c r="C114" s="248">
        <f t="shared" si="10"/>
        <v>112</v>
      </c>
      <c r="D114" s="249">
        <f t="shared" ca="1" si="11"/>
        <v>27154</v>
      </c>
      <c r="E114" s="265">
        <f t="shared" ca="1" si="6"/>
        <v>0.29475517441068744</v>
      </c>
      <c r="F114" s="251">
        <f t="shared" ca="1" si="7"/>
        <v>-0.97492791218201325</v>
      </c>
      <c r="G114" s="252">
        <f t="shared" ca="1" si="8"/>
        <v>-0.81457595205070721</v>
      </c>
      <c r="H114" s="246"/>
      <c r="I114" s="246"/>
      <c r="J114" s="246"/>
      <c r="K114" s="246"/>
      <c r="L114" s="246"/>
      <c r="M114" s="246"/>
      <c r="N114" s="246"/>
      <c r="O114" s="246"/>
      <c r="P114" s="282"/>
      <c r="Q114" s="283"/>
      <c r="R114" s="291"/>
      <c r="S114" s="297" t="str">
        <f t="shared" ca="1" si="9"/>
        <v xml:space="preserve"> </v>
      </c>
    </row>
    <row r="115" spans="1:19">
      <c r="A115" s="538"/>
      <c r="B115" s="247">
        <v>24</v>
      </c>
      <c r="C115" s="248">
        <f t="shared" si="10"/>
        <v>113</v>
      </c>
      <c r="D115" s="249">
        <f t="shared" ca="1" si="11"/>
        <v>27155</v>
      </c>
      <c r="E115" s="265">
        <f t="shared" ca="1" si="6"/>
        <v>0.56332005806392582</v>
      </c>
      <c r="F115" s="251">
        <f t="shared" ca="1" si="7"/>
        <v>-0.90096886790249675</v>
      </c>
      <c r="G115" s="252">
        <f t="shared" ca="1" si="8"/>
        <v>-0.69007901148212214</v>
      </c>
      <c r="H115" s="246"/>
      <c r="I115" s="246"/>
      <c r="J115" s="246"/>
      <c r="K115" s="246"/>
      <c r="L115" s="246"/>
      <c r="M115" s="246"/>
      <c r="N115" s="246"/>
      <c r="O115" s="246"/>
      <c r="P115" s="282"/>
      <c r="Q115" s="283"/>
      <c r="R115" s="291"/>
      <c r="S115" s="297" t="str">
        <f t="shared" ca="1" si="9"/>
        <v xml:space="preserve"> </v>
      </c>
    </row>
    <row r="116" spans="1:19">
      <c r="A116" s="538"/>
      <c r="B116" s="247">
        <v>25</v>
      </c>
      <c r="C116" s="248">
        <f t="shared" si="10"/>
        <v>114</v>
      </c>
      <c r="D116" s="249">
        <f t="shared" ca="1" si="11"/>
        <v>27156</v>
      </c>
      <c r="E116" s="265">
        <f t="shared" ca="1" si="6"/>
        <v>0.78183148246806267</v>
      </c>
      <c r="F116" s="251">
        <f t="shared" ca="1" si="7"/>
        <v>-0.78183148246828871</v>
      </c>
      <c r="G116" s="252">
        <f t="shared" ca="1" si="8"/>
        <v>-0.54064081745584769</v>
      </c>
      <c r="H116" s="246"/>
      <c r="I116" s="246"/>
      <c r="J116" s="246"/>
      <c r="K116" s="246"/>
      <c r="L116" s="246"/>
      <c r="M116" s="246"/>
      <c r="N116" s="246"/>
      <c r="O116" s="246"/>
      <c r="P116" s="282"/>
      <c r="Q116" s="283"/>
      <c r="R116" s="291"/>
      <c r="S116" s="297" t="str">
        <f t="shared" ca="1" si="9"/>
        <v xml:space="preserve"> </v>
      </c>
    </row>
    <row r="117" spans="1:19">
      <c r="A117" s="538"/>
      <c r="B117" s="247">
        <v>26</v>
      </c>
      <c r="C117" s="248">
        <f t="shared" si="10"/>
        <v>115</v>
      </c>
      <c r="D117" s="249">
        <f t="shared" ca="1" si="11"/>
        <v>27157</v>
      </c>
      <c r="E117" s="265">
        <f t="shared" ca="1" si="6"/>
        <v>0.93087374864410843</v>
      </c>
      <c r="F117" s="251">
        <f t="shared" ca="1" si="7"/>
        <v>-0.62348980185924296</v>
      </c>
      <c r="G117" s="252">
        <f t="shared" ca="1" si="8"/>
        <v>-0.37166245566086631</v>
      </c>
      <c r="H117" s="246"/>
      <c r="I117" s="246"/>
      <c r="J117" s="246"/>
      <c r="K117" s="246"/>
      <c r="L117" s="246"/>
      <c r="M117" s="246"/>
      <c r="N117" s="246"/>
      <c r="O117" s="246"/>
      <c r="P117" s="282"/>
      <c r="Q117" s="283"/>
      <c r="R117" s="291"/>
      <c r="S117" s="297" t="str">
        <f t="shared" ca="1" si="9"/>
        <v xml:space="preserve"> </v>
      </c>
    </row>
    <row r="118" spans="1:19">
      <c r="A118" s="538"/>
      <c r="B118" s="247">
        <v>27</v>
      </c>
      <c r="C118" s="248">
        <f t="shared" si="10"/>
        <v>116</v>
      </c>
      <c r="D118" s="249">
        <f t="shared" ca="1" si="11"/>
        <v>27158</v>
      </c>
      <c r="E118" s="265">
        <f t="shared" ca="1" si="6"/>
        <v>0.997203797181205</v>
      </c>
      <c r="F118" s="251">
        <f t="shared" ca="1" si="7"/>
        <v>-0.43388373911753858</v>
      </c>
      <c r="G118" s="252">
        <f t="shared" ca="1" si="8"/>
        <v>-0.18925124436036508</v>
      </c>
      <c r="H118" s="246"/>
      <c r="I118" s="246"/>
      <c r="J118" s="246"/>
      <c r="K118" s="246"/>
      <c r="L118" s="246"/>
      <c r="M118" s="246"/>
      <c r="N118" s="246"/>
      <c r="O118" s="246"/>
      <c r="P118" s="282"/>
      <c r="Q118" s="283"/>
      <c r="R118" s="291"/>
      <c r="S118" s="297" t="str">
        <f t="shared" ca="1" si="9"/>
        <v xml:space="preserve"> </v>
      </c>
    </row>
    <row r="119" spans="1:19">
      <c r="A119" s="538"/>
      <c r="B119" s="247">
        <v>28</v>
      </c>
      <c r="C119" s="248">
        <f t="shared" si="10"/>
        <v>117</v>
      </c>
      <c r="D119" s="249">
        <f t="shared" ca="1" si="11"/>
        <v>27159</v>
      </c>
      <c r="E119" s="265">
        <f t="shared" ca="1" si="6"/>
        <v>0.97492791218181984</v>
      </c>
      <c r="F119" s="251">
        <f t="shared" ca="1" si="7"/>
        <v>-0.22252093395652361</v>
      </c>
      <c r="G119" s="252">
        <f t="shared" ca="1" si="8"/>
        <v>-2.3718657246596386E-13</v>
      </c>
      <c r="H119" s="246"/>
      <c r="I119" s="246"/>
      <c r="J119" s="246"/>
      <c r="K119" s="246"/>
      <c r="L119" s="246"/>
      <c r="M119" s="246"/>
      <c r="N119" s="246"/>
      <c r="O119" s="246"/>
      <c r="P119" s="282"/>
      <c r="Q119" s="283"/>
      <c r="R119" s="291"/>
      <c r="S119" s="297" t="str">
        <f t="shared" ca="1" si="9"/>
        <v xml:space="preserve"> </v>
      </c>
    </row>
    <row r="120" spans="1:19">
      <c r="A120" s="538"/>
      <c r="B120" s="247">
        <v>29</v>
      </c>
      <c r="C120" s="248">
        <f t="shared" si="10"/>
        <v>118</v>
      </c>
      <c r="D120" s="249">
        <f t="shared" ca="1" si="11"/>
        <v>27160</v>
      </c>
      <c r="E120" s="265">
        <f t="shared" ca="1" si="6"/>
        <v>0.86602540378504234</v>
      </c>
      <c r="F120" s="251">
        <f t="shared" ca="1" si="7"/>
        <v>-4.5084162098030234E-13</v>
      </c>
      <c r="G120" s="252">
        <f t="shared" ca="1" si="8"/>
        <v>0.18925124435989926</v>
      </c>
      <c r="H120" s="246"/>
      <c r="I120" s="246"/>
      <c r="J120" s="246"/>
      <c r="K120" s="246"/>
      <c r="L120" s="246"/>
      <c r="M120" s="246"/>
      <c r="N120" s="246"/>
      <c r="O120" s="246"/>
      <c r="P120" s="282"/>
      <c r="Q120" s="283"/>
      <c r="R120" s="291"/>
      <c r="S120" s="297" t="str">
        <f t="shared" ca="1" si="9"/>
        <v xml:space="preserve"> </v>
      </c>
    </row>
    <row r="121" spans="1:19" ht="13.5" thickBot="1">
      <c r="A121" s="539"/>
      <c r="B121" s="253">
        <v>30</v>
      </c>
      <c r="C121" s="254">
        <f t="shared" si="10"/>
        <v>119</v>
      </c>
      <c r="D121" s="255">
        <f t="shared" ca="1" si="11"/>
        <v>27161</v>
      </c>
      <c r="E121" s="266">
        <f t="shared" ca="1" si="6"/>
        <v>0.68017273777070197</v>
      </c>
      <c r="F121" s="257">
        <f t="shared" ca="1" si="7"/>
        <v>0.22252093395653122</v>
      </c>
      <c r="G121" s="258">
        <f t="shared" ca="1" si="8"/>
        <v>0.37166245566042594</v>
      </c>
      <c r="H121" s="246"/>
      <c r="I121" s="246"/>
      <c r="J121" s="246"/>
      <c r="K121" s="246"/>
      <c r="L121" s="246"/>
      <c r="M121" s="246"/>
      <c r="N121" s="246"/>
      <c r="O121" s="246"/>
      <c r="P121" s="284"/>
      <c r="Q121" s="285"/>
      <c r="R121" s="292"/>
      <c r="S121" s="298" t="str">
        <f t="shared" ca="1" si="9"/>
        <v xml:space="preserve"> </v>
      </c>
    </row>
    <row r="122" spans="1:19">
      <c r="A122" s="540" t="s">
        <v>277</v>
      </c>
      <c r="B122" s="259">
        <v>1</v>
      </c>
      <c r="C122" s="260">
        <f t="shared" si="10"/>
        <v>120</v>
      </c>
      <c r="D122" s="261">
        <f t="shared" ca="1" si="11"/>
        <v>27162</v>
      </c>
      <c r="E122" s="262">
        <f t="shared" ca="1" si="6"/>
        <v>0.43388373911757477</v>
      </c>
      <c r="F122" s="263">
        <f t="shared" ca="1" si="7"/>
        <v>0.43388373911754563</v>
      </c>
      <c r="G122" s="264">
        <f t="shared" ca="1" si="8"/>
        <v>0.54064081745544856</v>
      </c>
      <c r="H122" s="246"/>
      <c r="I122" s="246"/>
      <c r="J122" s="246"/>
      <c r="K122" s="246"/>
      <c r="L122" s="246"/>
      <c r="M122" s="246"/>
      <c r="N122" s="246"/>
      <c r="O122" s="246"/>
      <c r="P122" s="280"/>
      <c r="Q122" s="281"/>
      <c r="R122" s="290"/>
      <c r="S122" s="296" t="str">
        <f t="shared" ca="1" si="9"/>
        <v xml:space="preserve"> </v>
      </c>
    </row>
    <row r="123" spans="1:19">
      <c r="A123" s="538"/>
      <c r="B123" s="247">
        <v>2</v>
      </c>
      <c r="C123" s="248">
        <f t="shared" si="10"/>
        <v>121</v>
      </c>
      <c r="D123" s="249">
        <f t="shared" ca="1" si="11"/>
        <v>27163</v>
      </c>
      <c r="E123" s="265">
        <f t="shared" ca="1" si="6"/>
        <v>0.14904226617740357</v>
      </c>
      <c r="F123" s="251">
        <f t="shared" ca="1" si="7"/>
        <v>0.62348980185853797</v>
      </c>
      <c r="G123" s="252">
        <f t="shared" ca="1" si="8"/>
        <v>0.69007901148177886</v>
      </c>
      <c r="H123" s="246"/>
      <c r="I123" s="246"/>
      <c r="J123" s="246"/>
      <c r="K123" s="246"/>
      <c r="L123" s="246"/>
      <c r="M123" s="246"/>
      <c r="N123" s="246"/>
      <c r="O123" s="246"/>
      <c r="P123" s="282"/>
      <c r="Q123" s="283"/>
      <c r="R123" s="291"/>
      <c r="S123" s="297" t="str">
        <f t="shared" ca="1" si="9"/>
        <v xml:space="preserve"> </v>
      </c>
    </row>
    <row r="124" spans="1:19">
      <c r="A124" s="538"/>
      <c r="B124" s="247">
        <v>3</v>
      </c>
      <c r="C124" s="248">
        <f t="shared" si="10"/>
        <v>122</v>
      </c>
      <c r="D124" s="249">
        <f t="shared" ca="1" si="11"/>
        <v>27164</v>
      </c>
      <c r="E124" s="265">
        <f t="shared" ca="1" si="6"/>
        <v>-0.14904226617643249</v>
      </c>
      <c r="F124" s="251">
        <f t="shared" ca="1" si="7"/>
        <v>0.78183148246829359</v>
      </c>
      <c r="G124" s="252">
        <f t="shared" ca="1" si="8"/>
        <v>0.81457595205043198</v>
      </c>
      <c r="H124" s="246"/>
      <c r="I124" s="246"/>
      <c r="J124" s="246"/>
      <c r="K124" s="246"/>
      <c r="L124" s="246"/>
      <c r="M124" s="246"/>
      <c r="N124" s="246"/>
      <c r="O124" s="246"/>
      <c r="P124" s="282"/>
      <c r="Q124" s="283"/>
      <c r="R124" s="291"/>
      <c r="S124" s="297" t="str">
        <f t="shared" ca="1" si="9"/>
        <v xml:space="preserve"> </v>
      </c>
    </row>
    <row r="125" spans="1:19">
      <c r="A125" s="538"/>
      <c r="B125" s="247">
        <v>4</v>
      </c>
      <c r="C125" s="248">
        <f t="shared" si="10"/>
        <v>123</v>
      </c>
      <c r="D125" s="249">
        <f t="shared" ca="1" si="11"/>
        <v>27165</v>
      </c>
      <c r="E125" s="265">
        <f t="shared" ca="1" si="6"/>
        <v>-0.43388373911750944</v>
      </c>
      <c r="F125" s="251">
        <f t="shared" ca="1" si="7"/>
        <v>0.90096886790210562</v>
      </c>
      <c r="G125" s="252">
        <f t="shared" ca="1" si="8"/>
        <v>0.9096319953544697</v>
      </c>
      <c r="H125" s="246"/>
      <c r="I125" s="246"/>
      <c r="J125" s="246"/>
      <c r="K125" s="246"/>
      <c r="L125" s="246"/>
      <c r="M125" s="246"/>
      <c r="N125" s="246"/>
      <c r="O125" s="246"/>
      <c r="P125" s="282"/>
      <c r="Q125" s="283"/>
      <c r="R125" s="291"/>
      <c r="S125" s="297" t="str">
        <f t="shared" ca="1" si="9"/>
        <v xml:space="preserve"> </v>
      </c>
    </row>
    <row r="126" spans="1:19">
      <c r="A126" s="538"/>
      <c r="B126" s="247">
        <v>5</v>
      </c>
      <c r="C126" s="248">
        <f t="shared" si="10"/>
        <v>124</v>
      </c>
      <c r="D126" s="249">
        <f t="shared" ca="1" si="11"/>
        <v>27166</v>
      </c>
      <c r="E126" s="265">
        <f t="shared" ca="1" si="6"/>
        <v>-0.68017273776998211</v>
      </c>
      <c r="F126" s="251">
        <f t="shared" ca="1" si="7"/>
        <v>0.97492791218161023</v>
      </c>
      <c r="G126" s="252">
        <f t="shared" ca="1" si="8"/>
        <v>0.97181156832344728</v>
      </c>
      <c r="H126" s="246"/>
      <c r="I126" s="246"/>
      <c r="J126" s="246"/>
      <c r="K126" s="246"/>
      <c r="L126" s="246"/>
      <c r="M126" s="246"/>
      <c r="N126" s="246"/>
      <c r="O126" s="246"/>
      <c r="P126" s="282"/>
      <c r="Q126" s="283"/>
      <c r="R126" s="291"/>
      <c r="S126" s="297" t="str">
        <f t="shared" ca="1" si="9"/>
        <v xml:space="preserve"> </v>
      </c>
    </row>
    <row r="127" spans="1:19">
      <c r="A127" s="538"/>
      <c r="B127" s="247">
        <v>6</v>
      </c>
      <c r="C127" s="248">
        <f t="shared" si="10"/>
        <v>125</v>
      </c>
      <c r="D127" s="249">
        <f t="shared" ca="1" si="11"/>
        <v>27167</v>
      </c>
      <c r="E127" s="265">
        <f t="shared" ca="1" si="6"/>
        <v>-0.8660254037845514</v>
      </c>
      <c r="F127" s="251">
        <f t="shared" ca="1" si="7"/>
        <v>1</v>
      </c>
      <c r="G127" s="252">
        <f t="shared" ca="1" si="8"/>
        <v>0.99886733918301873</v>
      </c>
      <c r="H127" s="246"/>
      <c r="I127" s="246"/>
      <c r="J127" s="246"/>
      <c r="K127" s="246"/>
      <c r="L127" s="246"/>
      <c r="M127" s="246"/>
      <c r="N127" s="246"/>
      <c r="O127" s="246"/>
      <c r="P127" s="282"/>
      <c r="Q127" s="283"/>
      <c r="R127" s="291"/>
      <c r="S127" s="297" t="str">
        <f t="shared" ca="1" si="9"/>
        <v xml:space="preserve"> </v>
      </c>
    </row>
    <row r="128" spans="1:19">
      <c r="A128" s="538"/>
      <c r="B128" s="247">
        <v>7</v>
      </c>
      <c r="C128" s="248">
        <f t="shared" si="10"/>
        <v>126</v>
      </c>
      <c r="D128" s="249">
        <f t="shared" ca="1" si="11"/>
        <v>27168</v>
      </c>
      <c r="E128" s="265">
        <f t="shared" ca="1" si="6"/>
        <v>-0.97492791218180364</v>
      </c>
      <c r="F128" s="251">
        <f t="shared" ca="1" si="7"/>
        <v>0.97492791218193975</v>
      </c>
      <c r="G128" s="252">
        <f t="shared" ca="1" si="8"/>
        <v>0.9898214418809409</v>
      </c>
      <c r="H128" s="246"/>
      <c r="I128" s="246"/>
      <c r="J128" s="246"/>
      <c r="K128" s="246"/>
      <c r="L128" s="246"/>
      <c r="M128" s="246"/>
      <c r="N128" s="246"/>
      <c r="O128" s="246"/>
      <c r="P128" s="282"/>
      <c r="Q128" s="283"/>
      <c r="R128" s="291"/>
      <c r="S128" s="297" t="str">
        <f t="shared" ca="1" si="9"/>
        <v xml:space="preserve"> </v>
      </c>
    </row>
    <row r="129" spans="1:19">
      <c r="A129" s="538"/>
      <c r="B129" s="247">
        <v>8</v>
      </c>
      <c r="C129" s="248">
        <f t="shared" si="10"/>
        <v>127</v>
      </c>
      <c r="D129" s="249">
        <f t="shared" ca="1" si="11"/>
        <v>27169</v>
      </c>
      <c r="E129" s="265">
        <f t="shared" ca="1" si="6"/>
        <v>-0.99720379718114238</v>
      </c>
      <c r="F129" s="251">
        <f t="shared" ca="1" si="7"/>
        <v>0.90096886790235353</v>
      </c>
      <c r="G129" s="252">
        <f t="shared" ca="1" si="8"/>
        <v>0.94500081871448227</v>
      </c>
      <c r="H129" s="246"/>
      <c r="I129" s="246"/>
      <c r="J129" s="246"/>
      <c r="K129" s="246"/>
      <c r="L129" s="246"/>
      <c r="M129" s="246"/>
      <c r="N129" s="246"/>
      <c r="O129" s="246"/>
      <c r="P129" s="282"/>
      <c r="Q129" s="283"/>
      <c r="R129" s="291"/>
      <c r="S129" s="297" t="str">
        <f t="shared" ca="1" si="9"/>
        <v xml:space="preserve"> </v>
      </c>
    </row>
    <row r="130" spans="1:19">
      <c r="A130" s="538"/>
      <c r="B130" s="247">
        <v>9</v>
      </c>
      <c r="C130" s="248">
        <f t="shared" si="10"/>
        <v>128</v>
      </c>
      <c r="D130" s="249">
        <f t="shared" ca="1" si="11"/>
        <v>27170</v>
      </c>
      <c r="E130" s="265">
        <f t="shared" ca="1" si="6"/>
        <v>-0.93087374864413486</v>
      </c>
      <c r="F130" s="251">
        <f t="shared" ca="1" si="7"/>
        <v>0.78183148246808276</v>
      </c>
      <c r="G130" s="252">
        <f t="shared" ca="1" si="8"/>
        <v>0.8660254037842956</v>
      </c>
      <c r="H130" s="246"/>
      <c r="I130" s="246"/>
      <c r="J130" s="246"/>
      <c r="K130" s="246"/>
      <c r="L130" s="246"/>
      <c r="M130" s="246"/>
      <c r="N130" s="246"/>
      <c r="O130" s="246"/>
      <c r="P130" s="282"/>
      <c r="Q130" s="283"/>
      <c r="R130" s="291"/>
      <c r="S130" s="297" t="str">
        <f t="shared" ca="1" si="9"/>
        <v xml:space="preserve"> </v>
      </c>
    </row>
    <row r="131" spans="1:19">
      <c r="A131" s="538"/>
      <c r="B131" s="247">
        <v>10</v>
      </c>
      <c r="C131" s="248">
        <f t="shared" si="10"/>
        <v>129</v>
      </c>
      <c r="D131" s="249">
        <f t="shared" ca="1" si="11"/>
        <v>27171</v>
      </c>
      <c r="E131" s="265">
        <f t="shared" ref="E131:E194" ca="1" si="12">SIN(2*PI()*$D131/21)</f>
        <v>-0.78183148246867495</v>
      </c>
      <c r="F131" s="251">
        <f t="shared" ref="F131:F194" ca="1" si="13">SIN(2*PI()*$D131/28)</f>
        <v>0.62348980185898473</v>
      </c>
      <c r="G131" s="252">
        <f t="shared" ref="G131:G194" ca="1" si="14">SIN(2*PI()*$D131/33)</f>
        <v>0.75574957435425627</v>
      </c>
      <c r="H131" s="246"/>
      <c r="I131" s="246"/>
      <c r="J131" s="246"/>
      <c r="K131" s="246"/>
      <c r="L131" s="246"/>
      <c r="M131" s="246"/>
      <c r="N131" s="246"/>
      <c r="O131" s="246"/>
      <c r="P131" s="282"/>
      <c r="Q131" s="283"/>
      <c r="R131" s="291"/>
      <c r="S131" s="297" t="str">
        <f t="shared" ref="S131:S194" ca="1" si="15">IF(AND(E131&gt;0.6,F131&gt;0.6,G131&gt;0.6),"&lt;----OK",IF(AND(E131&lt;-0.6,F131&lt;-0.6,G131&lt;-0.6),"&lt;XXX&gt;"," "))</f>
        <v xml:space="preserve"> </v>
      </c>
    </row>
    <row r="132" spans="1:19">
      <c r="A132" s="538"/>
      <c r="B132" s="247">
        <v>11</v>
      </c>
      <c r="C132" s="248">
        <f t="shared" ref="C132:C195" si="16">+C131+1</f>
        <v>130</v>
      </c>
      <c r="D132" s="249">
        <f t="shared" ref="D132:D195" ca="1" si="17">+$D$2+C132</f>
        <v>27172</v>
      </c>
      <c r="E132" s="265">
        <f t="shared" ca="1" si="12"/>
        <v>-0.56332005806323426</v>
      </c>
      <c r="F132" s="251">
        <f t="shared" ca="1" si="13"/>
        <v>0.43388373911724099</v>
      </c>
      <c r="G132" s="252">
        <f t="shared" ca="1" si="14"/>
        <v>0.61815898622011045</v>
      </c>
      <c r="H132" s="246"/>
      <c r="I132" s="246"/>
      <c r="J132" s="246"/>
      <c r="K132" s="246"/>
      <c r="L132" s="246"/>
      <c r="M132" s="246"/>
      <c r="N132" s="246"/>
      <c r="O132" s="246"/>
      <c r="P132" s="282"/>
      <c r="Q132" s="283"/>
      <c r="R132" s="291"/>
      <c r="S132" s="297" t="str">
        <f t="shared" ca="1" si="15"/>
        <v xml:space="preserve"> </v>
      </c>
    </row>
    <row r="133" spans="1:19">
      <c r="A133" s="538"/>
      <c r="B133" s="247">
        <v>12</v>
      </c>
      <c r="C133" s="248">
        <f t="shared" si="16"/>
        <v>131</v>
      </c>
      <c r="D133" s="249">
        <f t="shared" ca="1" si="17"/>
        <v>27173</v>
      </c>
      <c r="E133" s="265">
        <f t="shared" ca="1" si="12"/>
        <v>-0.29475517441075683</v>
      </c>
      <c r="F133" s="251">
        <f t="shared" ca="1" si="13"/>
        <v>0.22252093395620159</v>
      </c>
      <c r="G133" s="252">
        <f t="shared" ca="1" si="14"/>
        <v>0.45822652172791106</v>
      </c>
      <c r="H133" s="246"/>
      <c r="I133" s="246"/>
      <c r="J133" s="246"/>
      <c r="K133" s="246"/>
      <c r="L133" s="246"/>
      <c r="M133" s="246"/>
      <c r="N133" s="246"/>
      <c r="O133" s="246"/>
      <c r="P133" s="282"/>
      <c r="Q133" s="283"/>
      <c r="R133" s="291"/>
      <c r="S133" s="297" t="str">
        <f t="shared" ca="1" si="15"/>
        <v xml:space="preserve"> </v>
      </c>
    </row>
    <row r="134" spans="1:19">
      <c r="A134" s="538"/>
      <c r="B134" s="247">
        <v>13</v>
      </c>
      <c r="C134" s="248">
        <f t="shared" si="16"/>
        <v>132</v>
      </c>
      <c r="D134" s="249">
        <f t="shared" ca="1" si="17"/>
        <v>27174</v>
      </c>
      <c r="E134" s="265">
        <f t="shared" ca="1" si="12"/>
        <v>-1.0702437200360571E-12</v>
      </c>
      <c r="F134" s="251">
        <f t="shared" ca="1" si="13"/>
        <v>1.2056176369734661E-13</v>
      </c>
      <c r="G134" s="252">
        <f t="shared" ca="1" si="14"/>
        <v>0.28173255684224185</v>
      </c>
      <c r="H134" s="246"/>
      <c r="I134" s="246"/>
      <c r="J134" s="246"/>
      <c r="K134" s="246"/>
      <c r="L134" s="246"/>
      <c r="M134" s="246"/>
      <c r="N134" s="246"/>
      <c r="O134" s="246"/>
      <c r="P134" s="282"/>
      <c r="Q134" s="283"/>
      <c r="R134" s="291"/>
      <c r="S134" s="297" t="str">
        <f t="shared" ca="1" si="15"/>
        <v xml:space="preserve"> </v>
      </c>
    </row>
    <row r="135" spans="1:19">
      <c r="A135" s="538"/>
      <c r="B135" s="247">
        <v>14</v>
      </c>
      <c r="C135" s="248">
        <f t="shared" si="16"/>
        <v>133</v>
      </c>
      <c r="D135" s="249">
        <f t="shared" ca="1" si="17"/>
        <v>27175</v>
      </c>
      <c r="E135" s="265">
        <f t="shared" ca="1" si="12"/>
        <v>0.29475517441131865</v>
      </c>
      <c r="F135" s="251">
        <f t="shared" ca="1" si="13"/>
        <v>-0.22252093395685321</v>
      </c>
      <c r="G135" s="252">
        <f t="shared" ca="1" si="14"/>
        <v>9.5056043304401747E-2</v>
      </c>
      <c r="H135" s="246"/>
      <c r="I135" s="246"/>
      <c r="J135" s="246"/>
      <c r="K135" s="246"/>
      <c r="L135" s="246"/>
      <c r="M135" s="246"/>
      <c r="N135" s="246"/>
      <c r="O135" s="246"/>
      <c r="P135" s="282"/>
      <c r="Q135" s="283"/>
      <c r="R135" s="291"/>
      <c r="S135" s="297" t="str">
        <f t="shared" ca="1" si="15"/>
        <v xml:space="preserve"> </v>
      </c>
    </row>
    <row r="136" spans="1:19">
      <c r="A136" s="538"/>
      <c r="B136" s="247">
        <v>15</v>
      </c>
      <c r="C136" s="248">
        <f t="shared" si="16"/>
        <v>134</v>
      </c>
      <c r="D136" s="249">
        <f t="shared" ca="1" si="17"/>
        <v>27176</v>
      </c>
      <c r="E136" s="265">
        <f t="shared" ca="1" si="12"/>
        <v>0.5633200580637201</v>
      </c>
      <c r="F136" s="251">
        <f t="shared" ca="1" si="13"/>
        <v>-0.43388373911702377</v>
      </c>
      <c r="G136" s="252">
        <f t="shared" ca="1" si="14"/>
        <v>-9.5056043303681712E-2</v>
      </c>
      <c r="H136" s="246"/>
      <c r="I136" s="246"/>
      <c r="J136" s="246"/>
      <c r="K136" s="246"/>
      <c r="L136" s="246"/>
      <c r="M136" s="246"/>
      <c r="N136" s="246"/>
      <c r="O136" s="246"/>
      <c r="P136" s="282"/>
      <c r="Q136" s="283"/>
      <c r="R136" s="291"/>
      <c r="S136" s="297" t="str">
        <f t="shared" ca="1" si="15"/>
        <v xml:space="preserve"> </v>
      </c>
    </row>
    <row r="137" spans="1:19">
      <c r="A137" s="538"/>
      <c r="B137" s="247">
        <v>16</v>
      </c>
      <c r="C137" s="248">
        <f t="shared" si="16"/>
        <v>135</v>
      </c>
      <c r="D137" s="249">
        <f t="shared" ca="1" si="17"/>
        <v>27177</v>
      </c>
      <c r="E137" s="265">
        <f t="shared" ca="1" si="12"/>
        <v>0.78183148246734036</v>
      </c>
      <c r="F137" s="251">
        <f t="shared" ca="1" si="13"/>
        <v>-0.62348980185808511</v>
      </c>
      <c r="G137" s="252">
        <f t="shared" ca="1" si="14"/>
        <v>-0.28173255684067516</v>
      </c>
      <c r="H137" s="246"/>
      <c r="I137" s="246"/>
      <c r="J137" s="246"/>
      <c r="K137" s="246"/>
      <c r="L137" s="246"/>
      <c r="M137" s="246"/>
      <c r="N137" s="246"/>
      <c r="O137" s="246"/>
      <c r="P137" s="282"/>
      <c r="Q137" s="283"/>
      <c r="R137" s="291"/>
      <c r="S137" s="297" t="str">
        <f t="shared" ca="1" si="15"/>
        <v xml:space="preserve"> </v>
      </c>
    </row>
    <row r="138" spans="1:19">
      <c r="A138" s="538"/>
      <c r="B138" s="247">
        <v>17</v>
      </c>
      <c r="C138" s="248">
        <f t="shared" si="16"/>
        <v>136</v>
      </c>
      <c r="D138" s="249">
        <f t="shared" ca="1" si="17"/>
        <v>27178</v>
      </c>
      <c r="E138" s="265">
        <f t="shared" ca="1" si="12"/>
        <v>0.93087374864434969</v>
      </c>
      <c r="F138" s="251">
        <f t="shared" ca="1" si="13"/>
        <v>-0.78183148246793244</v>
      </c>
      <c r="G138" s="252">
        <f t="shared" ca="1" si="14"/>
        <v>-0.45822652172726813</v>
      </c>
      <c r="H138" s="246"/>
      <c r="I138" s="246"/>
      <c r="J138" s="246"/>
      <c r="K138" s="246"/>
      <c r="L138" s="246"/>
      <c r="M138" s="246"/>
      <c r="N138" s="246"/>
      <c r="O138" s="246"/>
      <c r="P138" s="282"/>
      <c r="Q138" s="283"/>
      <c r="R138" s="291"/>
      <c r="S138" s="297" t="str">
        <f t="shared" ca="1" si="15"/>
        <v xml:space="preserve"> </v>
      </c>
    </row>
    <row r="139" spans="1:19">
      <c r="A139" s="538"/>
      <c r="B139" s="247">
        <v>18</v>
      </c>
      <c r="C139" s="248">
        <f t="shared" si="16"/>
        <v>137</v>
      </c>
      <c r="D139" s="249">
        <f t="shared" ca="1" si="17"/>
        <v>27179</v>
      </c>
      <c r="E139" s="265">
        <f t="shared" ca="1" si="12"/>
        <v>0.99720379718118635</v>
      </c>
      <c r="F139" s="251">
        <f t="shared" ca="1" si="13"/>
        <v>-0.90096886790224884</v>
      </c>
      <c r="G139" s="252">
        <f t="shared" ca="1" si="14"/>
        <v>-0.61815898622025689</v>
      </c>
      <c r="H139" s="246"/>
      <c r="I139" s="246"/>
      <c r="J139" s="246"/>
      <c r="K139" s="246"/>
      <c r="L139" s="246"/>
      <c r="M139" s="246"/>
      <c r="N139" s="246"/>
      <c r="O139" s="246"/>
      <c r="P139" s="282"/>
      <c r="Q139" s="283"/>
      <c r="R139" s="291"/>
      <c r="S139" s="297" t="str">
        <f t="shared" ca="1" si="15"/>
        <v xml:space="preserve"> </v>
      </c>
    </row>
    <row r="140" spans="1:19">
      <c r="A140" s="538"/>
      <c r="B140" s="247">
        <v>19</v>
      </c>
      <c r="C140" s="248">
        <f t="shared" si="16"/>
        <v>138</v>
      </c>
      <c r="D140" s="249">
        <f t="shared" ca="1" si="17"/>
        <v>27180</v>
      </c>
      <c r="E140" s="265">
        <f t="shared" ca="1" si="12"/>
        <v>0.97492791218207764</v>
      </c>
      <c r="F140" s="251">
        <f t="shared" ca="1" si="13"/>
        <v>-0.97492791218168373</v>
      </c>
      <c r="G140" s="252">
        <f t="shared" ca="1" si="14"/>
        <v>-0.75574957435378265</v>
      </c>
      <c r="H140" s="246"/>
      <c r="I140" s="246"/>
      <c r="J140" s="246"/>
      <c r="K140" s="246"/>
      <c r="L140" s="246"/>
      <c r="M140" s="246"/>
      <c r="N140" s="246"/>
      <c r="O140" s="246"/>
      <c r="P140" s="282"/>
      <c r="Q140" s="283"/>
      <c r="R140" s="291"/>
      <c r="S140" s="297" t="str">
        <f t="shared" ca="1" si="15"/>
        <v xml:space="preserve"> </v>
      </c>
    </row>
    <row r="141" spans="1:19">
      <c r="A141" s="538"/>
      <c r="B141" s="247">
        <v>20</v>
      </c>
      <c r="C141" s="248">
        <f t="shared" si="16"/>
        <v>139</v>
      </c>
      <c r="D141" s="249">
        <f t="shared" ca="1" si="17"/>
        <v>27181</v>
      </c>
      <c r="E141" s="265">
        <f t="shared" ca="1" si="12"/>
        <v>0.8660254037842573</v>
      </c>
      <c r="F141" s="251">
        <f t="shared" ca="1" si="13"/>
        <v>-1</v>
      </c>
      <c r="G141" s="252">
        <f t="shared" ca="1" si="14"/>
        <v>-0.86602540378438864</v>
      </c>
      <c r="H141" s="246"/>
      <c r="I141" s="246"/>
      <c r="J141" s="246"/>
      <c r="K141" s="246"/>
      <c r="L141" s="246"/>
      <c r="M141" s="246"/>
      <c r="N141" s="246"/>
      <c r="O141" s="246"/>
      <c r="P141" s="282"/>
      <c r="Q141" s="283"/>
      <c r="R141" s="291"/>
      <c r="S141" s="297" t="str">
        <f t="shared" ca="1" si="15"/>
        <v xml:space="preserve"> </v>
      </c>
    </row>
    <row r="142" spans="1:19">
      <c r="A142" s="538"/>
      <c r="B142" s="247">
        <v>21</v>
      </c>
      <c r="C142" s="248">
        <f t="shared" si="16"/>
        <v>140</v>
      </c>
      <c r="D142" s="249">
        <f t="shared" ca="1" si="17"/>
        <v>27182</v>
      </c>
      <c r="E142" s="265">
        <f t="shared" ca="1" si="12"/>
        <v>0.68017273777155118</v>
      </c>
      <c r="F142" s="251">
        <f t="shared" ca="1" si="13"/>
        <v>-0.97492791218186625</v>
      </c>
      <c r="G142" s="252">
        <f t="shared" ca="1" si="14"/>
        <v>-0.94500081871454322</v>
      </c>
      <c r="H142" s="246"/>
      <c r="I142" s="246"/>
      <c r="J142" s="246"/>
      <c r="K142" s="246"/>
      <c r="L142" s="246"/>
      <c r="M142" s="246"/>
      <c r="N142" s="246"/>
      <c r="O142" s="246"/>
      <c r="P142" s="282"/>
      <c r="Q142" s="283"/>
      <c r="R142" s="291"/>
      <c r="S142" s="297" t="str">
        <f t="shared" ca="1" si="15"/>
        <v xml:space="preserve"> </v>
      </c>
    </row>
    <row r="143" spans="1:19">
      <c r="A143" s="538"/>
      <c r="B143" s="247">
        <v>22</v>
      </c>
      <c r="C143" s="248">
        <f t="shared" si="16"/>
        <v>141</v>
      </c>
      <c r="D143" s="249">
        <f t="shared" ca="1" si="17"/>
        <v>27183</v>
      </c>
      <c r="E143" s="265">
        <f t="shared" ca="1" si="12"/>
        <v>0.43388373911861849</v>
      </c>
      <c r="F143" s="251">
        <f t="shared" ca="1" si="13"/>
        <v>-0.90096886790260478</v>
      </c>
      <c r="G143" s="252">
        <f t="shared" ca="1" si="14"/>
        <v>-0.98982144188083787</v>
      </c>
      <c r="H143" s="246"/>
      <c r="I143" s="246"/>
      <c r="J143" s="246"/>
      <c r="K143" s="246"/>
      <c r="L143" s="246"/>
      <c r="M143" s="246"/>
      <c r="N143" s="246"/>
      <c r="O143" s="246"/>
      <c r="P143" s="282"/>
      <c r="Q143" s="283"/>
      <c r="R143" s="291"/>
      <c r="S143" s="297" t="str">
        <f t="shared" ca="1" si="15"/>
        <v xml:space="preserve"> </v>
      </c>
    </row>
    <row r="144" spans="1:19">
      <c r="A144" s="538"/>
      <c r="B144" s="247">
        <v>23</v>
      </c>
      <c r="C144" s="248">
        <f t="shared" si="16"/>
        <v>142</v>
      </c>
      <c r="D144" s="249">
        <f t="shared" ca="1" si="17"/>
        <v>27184</v>
      </c>
      <c r="E144" s="265">
        <f t="shared" ca="1" si="12"/>
        <v>0.14904226617585106</v>
      </c>
      <c r="F144" s="251">
        <f t="shared" ca="1" si="13"/>
        <v>-0.78183148246787693</v>
      </c>
      <c r="G144" s="252">
        <f t="shared" ca="1" si="14"/>
        <v>-0.99886733918300985</v>
      </c>
      <c r="H144" s="246"/>
      <c r="I144" s="246"/>
      <c r="J144" s="246"/>
      <c r="K144" s="246"/>
      <c r="L144" s="246"/>
      <c r="M144" s="246"/>
      <c r="N144" s="246"/>
      <c r="O144" s="246"/>
      <c r="P144" s="282"/>
      <c r="Q144" s="283"/>
      <c r="R144" s="291"/>
      <c r="S144" s="297" t="str">
        <f t="shared" ca="1" si="15"/>
        <v xml:space="preserve"> </v>
      </c>
    </row>
    <row r="145" spans="1:19">
      <c r="A145" s="538"/>
      <c r="B145" s="247">
        <v>24</v>
      </c>
      <c r="C145" s="248">
        <f t="shared" si="16"/>
        <v>143</v>
      </c>
      <c r="D145" s="249">
        <f t="shared" ca="1" si="17"/>
        <v>27185</v>
      </c>
      <c r="E145" s="265">
        <f t="shared" ca="1" si="12"/>
        <v>-0.14904226617528699</v>
      </c>
      <c r="F145" s="251">
        <f t="shared" ca="1" si="13"/>
        <v>-0.62348980185872649</v>
      </c>
      <c r="G145" s="252">
        <f t="shared" ca="1" si="14"/>
        <v>-0.97181156832361781</v>
      </c>
      <c r="H145" s="246"/>
      <c r="I145" s="246"/>
      <c r="J145" s="246"/>
      <c r="K145" s="246"/>
      <c r="L145" s="246"/>
      <c r="M145" s="246"/>
      <c r="N145" s="246"/>
      <c r="O145" s="246"/>
      <c r="P145" s="282"/>
      <c r="Q145" s="283"/>
      <c r="R145" s="291"/>
      <c r="S145" s="297" t="str">
        <f t="shared" ca="1" si="15"/>
        <v xml:space="preserve"> </v>
      </c>
    </row>
    <row r="146" spans="1:19">
      <c r="A146" s="538"/>
      <c r="B146" s="247">
        <v>25</v>
      </c>
      <c r="C146" s="248">
        <f t="shared" si="16"/>
        <v>144</v>
      </c>
      <c r="D146" s="249">
        <f t="shared" ca="1" si="17"/>
        <v>27186</v>
      </c>
      <c r="E146" s="265">
        <f t="shared" ca="1" si="12"/>
        <v>-0.43388373911646572</v>
      </c>
      <c r="F146" s="251">
        <f t="shared" ca="1" si="13"/>
        <v>-0.4338837391185823</v>
      </c>
      <c r="G146" s="252">
        <f t="shared" ca="1" si="14"/>
        <v>-0.90963199535477024</v>
      </c>
      <c r="H146" s="246"/>
      <c r="I146" s="246"/>
      <c r="J146" s="246"/>
      <c r="K146" s="246"/>
      <c r="L146" s="246"/>
      <c r="M146" s="246"/>
      <c r="N146" s="246"/>
      <c r="O146" s="246"/>
      <c r="P146" s="282"/>
      <c r="Q146" s="283"/>
      <c r="R146" s="291"/>
      <c r="S146" s="297" t="str">
        <f t="shared" ca="1" si="15"/>
        <v xml:space="preserve"> </v>
      </c>
    </row>
    <row r="147" spans="1:19">
      <c r="A147" s="538"/>
      <c r="B147" s="247">
        <v>26</v>
      </c>
      <c r="C147" s="248">
        <f t="shared" si="16"/>
        <v>145</v>
      </c>
      <c r="D147" s="249">
        <f t="shared" ca="1" si="17"/>
        <v>27187</v>
      </c>
      <c r="E147" s="265">
        <f t="shared" ca="1" si="12"/>
        <v>-0.68017273777113307</v>
      </c>
      <c r="F147" s="251">
        <f t="shared" ca="1" si="13"/>
        <v>-0.22252093395676631</v>
      </c>
      <c r="G147" s="252">
        <f t="shared" ca="1" si="14"/>
        <v>-0.81457595205032407</v>
      </c>
      <c r="H147" s="246"/>
      <c r="I147" s="246"/>
      <c r="J147" s="246"/>
      <c r="K147" s="246"/>
      <c r="L147" s="246"/>
      <c r="M147" s="246"/>
      <c r="N147" s="246"/>
      <c r="O147" s="246"/>
      <c r="P147" s="282"/>
      <c r="Q147" s="283"/>
      <c r="R147" s="291"/>
      <c r="S147" s="297" t="str">
        <f t="shared" ca="1" si="15"/>
        <v xml:space="preserve"> </v>
      </c>
    </row>
    <row r="148" spans="1:19">
      <c r="A148" s="538"/>
      <c r="B148" s="247">
        <v>27</v>
      </c>
      <c r="C148" s="248">
        <f t="shared" si="16"/>
        <v>146</v>
      </c>
      <c r="D148" s="249">
        <f t="shared" ca="1" si="17"/>
        <v>27188</v>
      </c>
      <c r="E148" s="265">
        <f t="shared" ca="1" si="12"/>
        <v>-0.86602540378397208</v>
      </c>
      <c r="F148" s="251">
        <f t="shared" ca="1" si="13"/>
        <v>-6.9977660818731913E-13</v>
      </c>
      <c r="G148" s="252">
        <f t="shared" ca="1" si="14"/>
        <v>-0.69007901148230233</v>
      </c>
      <c r="H148" s="246"/>
      <c r="I148" s="246"/>
      <c r="J148" s="246"/>
      <c r="K148" s="246"/>
      <c r="L148" s="246"/>
      <c r="M148" s="246"/>
      <c r="N148" s="246"/>
      <c r="O148" s="246"/>
      <c r="P148" s="282"/>
      <c r="Q148" s="283"/>
      <c r="R148" s="291"/>
      <c r="S148" s="297" t="str">
        <f t="shared" ca="1" si="15"/>
        <v xml:space="preserve"> </v>
      </c>
    </row>
    <row r="149" spans="1:19">
      <c r="A149" s="538"/>
      <c r="B149" s="247">
        <v>28</v>
      </c>
      <c r="C149" s="248">
        <f t="shared" si="16"/>
        <v>147</v>
      </c>
      <c r="D149" s="249">
        <f t="shared" ca="1" si="17"/>
        <v>27189</v>
      </c>
      <c r="E149" s="265">
        <f t="shared" ca="1" si="12"/>
        <v>-0.97492791218195063</v>
      </c>
      <c r="F149" s="251">
        <f t="shared" ca="1" si="13"/>
        <v>0.22252093395628852</v>
      </c>
      <c r="G149" s="252">
        <f t="shared" ca="1" si="14"/>
        <v>-0.54064081745529191</v>
      </c>
      <c r="H149" s="246"/>
      <c r="I149" s="246"/>
      <c r="J149" s="246"/>
      <c r="K149" s="246"/>
      <c r="L149" s="246"/>
      <c r="M149" s="246"/>
      <c r="N149" s="246"/>
      <c r="O149" s="246"/>
      <c r="P149" s="282"/>
      <c r="Q149" s="283"/>
      <c r="R149" s="291"/>
      <c r="S149" s="297" t="str">
        <f t="shared" ca="1" si="15"/>
        <v xml:space="preserve"> </v>
      </c>
    </row>
    <row r="150" spans="1:19">
      <c r="A150" s="538"/>
      <c r="B150" s="247">
        <v>29</v>
      </c>
      <c r="C150" s="248">
        <f t="shared" si="16"/>
        <v>148</v>
      </c>
      <c r="D150" s="249">
        <f t="shared" ca="1" si="17"/>
        <v>27190</v>
      </c>
      <c r="E150" s="265">
        <f t="shared" ca="1" si="12"/>
        <v>-0.99720379718116103</v>
      </c>
      <c r="F150" s="251">
        <f t="shared" ca="1" si="13"/>
        <v>0.43388373911732131</v>
      </c>
      <c r="G150" s="252">
        <f t="shared" ca="1" si="14"/>
        <v>-0.37166245566025308</v>
      </c>
      <c r="H150" s="246"/>
      <c r="I150" s="246"/>
      <c r="J150" s="246"/>
      <c r="K150" s="246"/>
      <c r="L150" s="246"/>
      <c r="M150" s="246"/>
      <c r="N150" s="246"/>
      <c r="O150" s="246"/>
      <c r="P150" s="282"/>
      <c r="Q150" s="283"/>
      <c r="R150" s="291"/>
      <c r="S150" s="297" t="str">
        <f t="shared" ca="1" si="15"/>
        <v xml:space="preserve"> </v>
      </c>
    </row>
    <row r="151" spans="1:19">
      <c r="A151" s="538"/>
      <c r="B151" s="247">
        <v>30</v>
      </c>
      <c r="C151" s="248">
        <f t="shared" si="16"/>
        <v>149</v>
      </c>
      <c r="D151" s="249">
        <f t="shared" ca="1" si="17"/>
        <v>27191</v>
      </c>
      <c r="E151" s="265">
        <f t="shared" ca="1" si="12"/>
        <v>-0.93087374864455807</v>
      </c>
      <c r="F151" s="251">
        <f t="shared" ca="1" si="13"/>
        <v>0.62348980185834335</v>
      </c>
      <c r="G151" s="252">
        <f t="shared" ca="1" si="14"/>
        <v>-0.1892512443606095</v>
      </c>
      <c r="H151" s="246"/>
      <c r="I151" s="246"/>
      <c r="J151" s="246"/>
      <c r="K151" s="246"/>
      <c r="L151" s="246"/>
      <c r="M151" s="246"/>
      <c r="N151" s="246"/>
      <c r="O151" s="246"/>
      <c r="P151" s="282"/>
      <c r="Q151" s="283"/>
      <c r="R151" s="291"/>
      <c r="S151" s="297" t="str">
        <f t="shared" ca="1" si="15"/>
        <v xml:space="preserve"> </v>
      </c>
    </row>
    <row r="152" spans="1:19" ht="13.5" thickBot="1">
      <c r="A152" s="539"/>
      <c r="B152" s="253">
        <v>31</v>
      </c>
      <c r="C152" s="254">
        <f t="shared" si="16"/>
        <v>150</v>
      </c>
      <c r="D152" s="255">
        <f t="shared" ca="1" si="17"/>
        <v>27192</v>
      </c>
      <c r="E152" s="266">
        <f t="shared" ca="1" si="12"/>
        <v>-0.78183148246769596</v>
      </c>
      <c r="F152" s="257">
        <f t="shared" ca="1" si="13"/>
        <v>0.78183148246813838</v>
      </c>
      <c r="G152" s="258">
        <f t="shared" ca="1" si="14"/>
        <v>4.2337314209994759E-13</v>
      </c>
      <c r="H152" s="246"/>
      <c r="I152" s="246"/>
      <c r="J152" s="246"/>
      <c r="K152" s="246"/>
      <c r="L152" s="246"/>
      <c r="M152" s="246"/>
      <c r="N152" s="246"/>
      <c r="O152" s="246"/>
      <c r="P152" s="288"/>
      <c r="Q152" s="289"/>
      <c r="R152" s="293"/>
      <c r="S152" s="298" t="str">
        <f t="shared" ca="1" si="15"/>
        <v xml:space="preserve"> </v>
      </c>
    </row>
    <row r="153" spans="1:19">
      <c r="A153" s="532" t="s">
        <v>278</v>
      </c>
      <c r="B153" s="259">
        <v>1</v>
      </c>
      <c r="C153" s="260">
        <f t="shared" si="16"/>
        <v>151</v>
      </c>
      <c r="D153" s="261">
        <f t="shared" ca="1" si="17"/>
        <v>27193</v>
      </c>
      <c r="E153" s="262">
        <f t="shared" ca="1" si="12"/>
        <v>-0.56332005806419139</v>
      </c>
      <c r="F153" s="263">
        <f t="shared" ca="1" si="13"/>
        <v>0.90096886790239217</v>
      </c>
      <c r="G153" s="264">
        <f t="shared" ca="1" si="14"/>
        <v>0.18925124436054788</v>
      </c>
      <c r="H153" s="246"/>
      <c r="I153" s="246"/>
      <c r="J153" s="246"/>
      <c r="K153" s="246"/>
      <c r="L153" s="246"/>
      <c r="M153" s="246"/>
      <c r="N153" s="246"/>
      <c r="O153" s="246"/>
      <c r="P153" s="280"/>
      <c r="Q153" s="281"/>
      <c r="R153" s="290"/>
      <c r="S153" s="296" t="str">
        <f t="shared" ca="1" si="15"/>
        <v xml:space="preserve"> </v>
      </c>
    </row>
    <row r="154" spans="1:19">
      <c r="A154" s="533"/>
      <c r="B154" s="247">
        <v>2</v>
      </c>
      <c r="C154" s="248">
        <f t="shared" si="16"/>
        <v>152</v>
      </c>
      <c r="D154" s="249">
        <f t="shared" ca="1" si="17"/>
        <v>27194</v>
      </c>
      <c r="E154" s="265">
        <f t="shared" ca="1" si="12"/>
        <v>-0.29475517441186377</v>
      </c>
      <c r="F154" s="251">
        <f t="shared" ca="1" si="13"/>
        <v>0.97492791218175723</v>
      </c>
      <c r="G154" s="252">
        <f t="shared" ca="1" si="14"/>
        <v>0.37166245566019485</v>
      </c>
      <c r="H154" s="246"/>
      <c r="I154" s="246"/>
      <c r="J154" s="246"/>
      <c r="K154" s="246"/>
      <c r="L154" s="246"/>
      <c r="M154" s="246"/>
      <c r="N154" s="246"/>
      <c r="O154" s="246"/>
      <c r="P154" s="282"/>
      <c r="Q154" s="283"/>
      <c r="R154" s="291"/>
      <c r="S154" s="297" t="str">
        <f t="shared" ca="1" si="15"/>
        <v xml:space="preserve"> </v>
      </c>
    </row>
    <row r="155" spans="1:19">
      <c r="A155" s="533"/>
      <c r="B155" s="247">
        <v>3</v>
      </c>
      <c r="C155" s="248">
        <f t="shared" si="16"/>
        <v>153</v>
      </c>
      <c r="D155" s="249">
        <f t="shared" ca="1" si="17"/>
        <v>27195</v>
      </c>
      <c r="E155" s="265">
        <f t="shared" ca="1" si="12"/>
        <v>4.9981069630278263E-13</v>
      </c>
      <c r="F155" s="251">
        <f t="shared" ca="1" si="13"/>
        <v>1</v>
      </c>
      <c r="G155" s="252">
        <f t="shared" ca="1" si="14"/>
        <v>0.54064081745600423</v>
      </c>
      <c r="H155" s="246"/>
      <c r="I155" s="246"/>
      <c r="J155" s="246"/>
      <c r="K155" s="246"/>
      <c r="L155" s="246"/>
      <c r="M155" s="246"/>
      <c r="N155" s="246"/>
      <c r="O155" s="246"/>
      <c r="P155" s="282"/>
      <c r="Q155" s="283"/>
      <c r="R155" s="291"/>
      <c r="S155" s="297" t="str">
        <f t="shared" ca="1" si="15"/>
        <v xml:space="preserve"> </v>
      </c>
    </row>
    <row r="156" spans="1:19">
      <c r="A156" s="533"/>
      <c r="B156" s="247">
        <v>4</v>
      </c>
      <c r="C156" s="248">
        <f t="shared" si="16"/>
        <v>154</v>
      </c>
      <c r="D156" s="249">
        <f t="shared" ca="1" si="17"/>
        <v>27196</v>
      </c>
      <c r="E156" s="265">
        <f t="shared" ca="1" si="12"/>
        <v>0.29475517441021171</v>
      </c>
      <c r="F156" s="251">
        <f t="shared" ca="1" si="13"/>
        <v>0.97492791218179276</v>
      </c>
      <c r="G156" s="252">
        <f t="shared" ca="1" si="14"/>
        <v>0.69007901148225692</v>
      </c>
      <c r="H156" s="246"/>
      <c r="I156" s="246"/>
      <c r="J156" s="246"/>
      <c r="K156" s="246"/>
      <c r="L156" s="246"/>
      <c r="M156" s="246"/>
      <c r="N156" s="246"/>
      <c r="O156" s="246"/>
      <c r="P156" s="282"/>
      <c r="Q156" s="283"/>
      <c r="R156" s="291"/>
      <c r="S156" s="297" t="str">
        <f t="shared" ca="1" si="15"/>
        <v xml:space="preserve"> </v>
      </c>
    </row>
    <row r="157" spans="1:19">
      <c r="A157" s="533"/>
      <c r="B157" s="247">
        <v>5</v>
      </c>
      <c r="C157" s="248">
        <f t="shared" si="16"/>
        <v>155</v>
      </c>
      <c r="D157" s="249">
        <f t="shared" ca="1" si="17"/>
        <v>27197</v>
      </c>
      <c r="E157" s="265">
        <f t="shared" ca="1" si="12"/>
        <v>0.56332005806276297</v>
      </c>
      <c r="F157" s="251">
        <f t="shared" ca="1" si="13"/>
        <v>0.90096886790285613</v>
      </c>
      <c r="G157" s="252">
        <f t="shared" ca="1" si="14"/>
        <v>0.81457595205028765</v>
      </c>
      <c r="H157" s="246"/>
      <c r="I157" s="246"/>
      <c r="J157" s="246"/>
      <c r="K157" s="246"/>
      <c r="L157" s="246"/>
      <c r="M157" s="246"/>
      <c r="N157" s="246"/>
      <c r="O157" s="246"/>
      <c r="P157" s="282"/>
      <c r="Q157" s="283"/>
      <c r="R157" s="291"/>
      <c r="S157" s="297" t="str">
        <f t="shared" ca="1" si="15"/>
        <v xml:space="preserve"> </v>
      </c>
    </row>
    <row r="158" spans="1:19">
      <c r="A158" s="533"/>
      <c r="B158" s="247">
        <v>6</v>
      </c>
      <c r="C158" s="248">
        <f t="shared" si="16"/>
        <v>156</v>
      </c>
      <c r="D158" s="249">
        <f t="shared" ca="1" si="17"/>
        <v>27198</v>
      </c>
      <c r="E158" s="265">
        <f t="shared" ca="1" si="12"/>
        <v>0.78183148246831924</v>
      </c>
      <c r="F158" s="251">
        <f t="shared" ca="1" si="13"/>
        <v>0.78183148246823797</v>
      </c>
      <c r="G158" s="252">
        <f t="shared" ca="1" si="14"/>
        <v>0.90963199535436634</v>
      </c>
      <c r="H158" s="246"/>
      <c r="I158" s="246"/>
      <c r="J158" s="246"/>
      <c r="K158" s="246"/>
      <c r="L158" s="246"/>
      <c r="M158" s="246"/>
      <c r="N158" s="246"/>
      <c r="O158" s="246"/>
      <c r="P158" s="282"/>
      <c r="Q158" s="283"/>
      <c r="R158" s="291"/>
      <c r="S158" s="297" t="str">
        <f t="shared" ca="1" si="15"/>
        <v>&lt;----OK</v>
      </c>
    </row>
    <row r="159" spans="1:19">
      <c r="A159" s="533"/>
      <c r="B159" s="247">
        <v>7</v>
      </c>
      <c r="C159" s="248">
        <f t="shared" si="16"/>
        <v>157</v>
      </c>
      <c r="D159" s="249">
        <f t="shared" ca="1" si="17"/>
        <v>27199</v>
      </c>
      <c r="E159" s="265">
        <f t="shared" ca="1" si="12"/>
        <v>0.93087374864392647</v>
      </c>
      <c r="F159" s="251">
        <f t="shared" ca="1" si="13"/>
        <v>0.62348980185917935</v>
      </c>
      <c r="G159" s="252">
        <f t="shared" ca="1" si="14"/>
        <v>0.97181156832338866</v>
      </c>
      <c r="H159" s="246"/>
      <c r="I159" s="246"/>
      <c r="J159" s="246"/>
      <c r="K159" s="246"/>
      <c r="L159" s="246"/>
      <c r="M159" s="246"/>
      <c r="N159" s="246"/>
      <c r="O159" s="246"/>
      <c r="P159" s="282"/>
      <c r="Q159" s="283"/>
      <c r="R159" s="291"/>
      <c r="S159" s="297" t="str">
        <f t="shared" ca="1" si="15"/>
        <v>&lt;----OK</v>
      </c>
    </row>
    <row r="160" spans="1:19">
      <c r="A160" s="533"/>
      <c r="B160" s="247">
        <v>8</v>
      </c>
      <c r="C160" s="248">
        <f t="shared" si="16"/>
        <v>158</v>
      </c>
      <c r="D160" s="249">
        <f t="shared" ca="1" si="17"/>
        <v>27200</v>
      </c>
      <c r="E160" s="265">
        <f t="shared" ca="1" si="12"/>
        <v>0.99720379718109975</v>
      </c>
      <c r="F160" s="251">
        <f t="shared" ca="1" si="13"/>
        <v>0.43388373911828471</v>
      </c>
      <c r="G160" s="252">
        <f t="shared" ca="1" si="14"/>
        <v>0.99886733918296366</v>
      </c>
      <c r="H160" s="246"/>
      <c r="I160" s="246"/>
      <c r="J160" s="246"/>
      <c r="K160" s="246"/>
      <c r="L160" s="246"/>
      <c r="M160" s="246"/>
      <c r="N160" s="246"/>
      <c r="O160" s="246"/>
      <c r="P160" s="282"/>
      <c r="Q160" s="283"/>
      <c r="R160" s="291"/>
      <c r="S160" s="297" t="str">
        <f t="shared" ca="1" si="15"/>
        <v xml:space="preserve"> </v>
      </c>
    </row>
    <row r="161" spans="1:19">
      <c r="A161" s="533"/>
      <c r="B161" s="247">
        <v>9</v>
      </c>
      <c r="C161" s="248">
        <f t="shared" si="16"/>
        <v>159</v>
      </c>
      <c r="D161" s="249">
        <f t="shared" ca="1" si="17"/>
        <v>27201</v>
      </c>
      <c r="E161" s="265">
        <f t="shared" ca="1" si="12"/>
        <v>0.97492791218172825</v>
      </c>
      <c r="F161" s="251">
        <f t="shared" ca="1" si="13"/>
        <v>0.22252093395644429</v>
      </c>
      <c r="G161" s="252">
        <f t="shared" ca="1" si="14"/>
        <v>0.98982144188097632</v>
      </c>
      <c r="H161" s="246"/>
      <c r="I161" s="246"/>
      <c r="J161" s="246"/>
      <c r="K161" s="246"/>
      <c r="L161" s="246"/>
      <c r="M161" s="246"/>
      <c r="N161" s="246"/>
      <c r="O161" s="246"/>
      <c r="P161" s="282"/>
      <c r="Q161" s="283"/>
      <c r="R161" s="291"/>
      <c r="S161" s="297" t="str">
        <f t="shared" ca="1" si="15"/>
        <v xml:space="preserve"> </v>
      </c>
    </row>
    <row r="162" spans="1:19">
      <c r="A162" s="533"/>
      <c r="B162" s="247">
        <v>10</v>
      </c>
      <c r="C162" s="248">
        <f t="shared" si="16"/>
        <v>160</v>
      </c>
      <c r="D162" s="249">
        <f t="shared" ca="1" si="17"/>
        <v>27202</v>
      </c>
      <c r="E162" s="265">
        <f t="shared" ca="1" si="12"/>
        <v>0.86602540378483661</v>
      </c>
      <c r="F162" s="251">
        <f t="shared" ca="1" si="13"/>
        <v>3.694967509043634E-13</v>
      </c>
      <c r="G162" s="252">
        <f t="shared" ca="1" si="14"/>
        <v>0.94500081871486119</v>
      </c>
      <c r="H162" s="246"/>
      <c r="I162" s="246"/>
      <c r="J162" s="246"/>
      <c r="K162" s="246"/>
      <c r="L162" s="246"/>
      <c r="M162" s="246"/>
      <c r="N162" s="246"/>
      <c r="O162" s="246"/>
      <c r="P162" s="282"/>
      <c r="Q162" s="283"/>
      <c r="R162" s="291"/>
      <c r="S162" s="297" t="str">
        <f t="shared" ca="1" si="15"/>
        <v xml:space="preserve"> </v>
      </c>
    </row>
    <row r="163" spans="1:19">
      <c r="A163" s="533"/>
      <c r="B163" s="247">
        <v>11</v>
      </c>
      <c r="C163" s="248">
        <f t="shared" si="16"/>
        <v>161</v>
      </c>
      <c r="D163" s="249">
        <f t="shared" ca="1" si="17"/>
        <v>27203</v>
      </c>
      <c r="E163" s="265">
        <f t="shared" ca="1" si="12"/>
        <v>0.6801727377717337</v>
      </c>
      <c r="F163" s="251">
        <f t="shared" ca="1" si="13"/>
        <v>-0.22252093395572384</v>
      </c>
      <c r="G163" s="252">
        <f t="shared" ca="1" si="14"/>
        <v>0.8660254037848748</v>
      </c>
      <c r="H163" s="246"/>
      <c r="I163" s="246"/>
      <c r="J163" s="246"/>
      <c r="K163" s="246"/>
      <c r="L163" s="246"/>
      <c r="M163" s="246"/>
      <c r="N163" s="246"/>
      <c r="O163" s="246"/>
      <c r="P163" s="282"/>
      <c r="Q163" s="283"/>
      <c r="R163" s="291"/>
      <c r="S163" s="297" t="str">
        <f t="shared" ca="1" si="15"/>
        <v xml:space="preserve"> </v>
      </c>
    </row>
    <row r="164" spans="1:19">
      <c r="A164" s="533"/>
      <c r="B164" s="247">
        <v>12</v>
      </c>
      <c r="C164" s="248">
        <f t="shared" si="16"/>
        <v>162</v>
      </c>
      <c r="D164" s="249">
        <f t="shared" ca="1" si="17"/>
        <v>27204</v>
      </c>
      <c r="E164" s="265">
        <f t="shared" ca="1" si="12"/>
        <v>0.43388373911802336</v>
      </c>
      <c r="F164" s="251">
        <f t="shared" ca="1" si="13"/>
        <v>-0.43388373911761891</v>
      </c>
      <c r="G164" s="252">
        <f t="shared" ca="1" si="14"/>
        <v>0.75574957435441936</v>
      </c>
      <c r="H164" s="246"/>
      <c r="I164" s="246"/>
      <c r="J164" s="246"/>
      <c r="K164" s="246"/>
      <c r="L164" s="246"/>
      <c r="M164" s="246"/>
      <c r="N164" s="246"/>
      <c r="O164" s="246"/>
      <c r="P164" s="282"/>
      <c r="Q164" s="283"/>
      <c r="R164" s="291"/>
      <c r="S164" s="297" t="str">
        <f t="shared" ca="1" si="15"/>
        <v xml:space="preserve"> </v>
      </c>
    </row>
    <row r="165" spans="1:19">
      <c r="A165" s="533"/>
      <c r="B165" s="247">
        <v>13</v>
      </c>
      <c r="C165" s="248">
        <f t="shared" si="16"/>
        <v>163</v>
      </c>
      <c r="D165" s="249">
        <f t="shared" ca="1" si="17"/>
        <v>27205</v>
      </c>
      <c r="E165" s="265">
        <f t="shared" ca="1" si="12"/>
        <v>0.14904226617699656</v>
      </c>
      <c r="F165" s="251">
        <f t="shared" ca="1" si="13"/>
        <v>-0.62348980185860159</v>
      </c>
      <c r="G165" s="252">
        <f t="shared" ca="1" si="14"/>
        <v>0.61815898622102106</v>
      </c>
      <c r="H165" s="246"/>
      <c r="I165" s="246"/>
      <c r="J165" s="246"/>
      <c r="K165" s="246"/>
      <c r="L165" s="246"/>
      <c r="M165" s="246"/>
      <c r="N165" s="246"/>
      <c r="O165" s="246"/>
      <c r="P165" s="282"/>
      <c r="Q165" s="283"/>
      <c r="R165" s="291"/>
      <c r="S165" s="297" t="str">
        <f t="shared" ca="1" si="15"/>
        <v xml:space="preserve"> </v>
      </c>
    </row>
    <row r="166" spans="1:19">
      <c r="A166" s="533"/>
      <c r="B166" s="247">
        <v>14</v>
      </c>
      <c r="C166" s="248">
        <f t="shared" si="16"/>
        <v>164</v>
      </c>
      <c r="D166" s="249">
        <f t="shared" ca="1" si="17"/>
        <v>27206</v>
      </c>
      <c r="E166" s="265">
        <f t="shared" ca="1" si="12"/>
        <v>-0.14904226617683952</v>
      </c>
      <c r="F166" s="251">
        <f t="shared" ca="1" si="13"/>
        <v>-0.78183148246834433</v>
      </c>
      <c r="G166" s="252">
        <f t="shared" ca="1" si="14"/>
        <v>0.45822652172732392</v>
      </c>
      <c r="H166" s="246"/>
      <c r="I166" s="246"/>
      <c r="J166" s="246"/>
      <c r="K166" s="246"/>
      <c r="L166" s="246"/>
      <c r="M166" s="246"/>
      <c r="N166" s="246"/>
      <c r="O166" s="246"/>
      <c r="P166" s="282"/>
      <c r="Q166" s="283"/>
      <c r="R166" s="291"/>
      <c r="S166" s="297" t="str">
        <f t="shared" ca="1" si="15"/>
        <v xml:space="preserve"> </v>
      </c>
    </row>
    <row r="167" spans="1:19">
      <c r="A167" s="533"/>
      <c r="B167" s="247">
        <v>15</v>
      </c>
      <c r="C167" s="248">
        <f t="shared" si="16"/>
        <v>165</v>
      </c>
      <c r="D167" s="249">
        <f t="shared" ca="1" si="17"/>
        <v>27207</v>
      </c>
      <c r="E167" s="265">
        <f t="shared" ca="1" si="12"/>
        <v>-0.43388373911706085</v>
      </c>
      <c r="F167" s="251">
        <f t="shared" ca="1" si="13"/>
        <v>-0.9009688679025355</v>
      </c>
      <c r="G167" s="252">
        <f t="shared" ca="1" si="14"/>
        <v>0.28173255684160803</v>
      </c>
      <c r="H167" s="246"/>
      <c r="I167" s="246"/>
      <c r="J167" s="246"/>
      <c r="K167" s="246"/>
      <c r="L167" s="246"/>
      <c r="M167" s="246"/>
      <c r="N167" s="246"/>
      <c r="O167" s="246"/>
      <c r="P167" s="282"/>
      <c r="Q167" s="283"/>
      <c r="R167" s="291"/>
      <c r="S167" s="297" t="str">
        <f t="shared" ca="1" si="15"/>
        <v xml:space="preserve"> </v>
      </c>
    </row>
    <row r="168" spans="1:19">
      <c r="A168" s="533"/>
      <c r="B168" s="247">
        <v>16</v>
      </c>
      <c r="C168" s="248">
        <f t="shared" si="16"/>
        <v>166</v>
      </c>
      <c r="D168" s="249">
        <f t="shared" ca="1" si="17"/>
        <v>27208</v>
      </c>
      <c r="E168" s="265">
        <f t="shared" ca="1" si="12"/>
        <v>-0.68017273777028386</v>
      </c>
      <c r="F168" s="251">
        <f t="shared" ca="1" si="13"/>
        <v>-0.97492791218162833</v>
      </c>
      <c r="G168" s="252">
        <f t="shared" ca="1" si="14"/>
        <v>9.5056043304649548E-2</v>
      </c>
      <c r="H168" s="246"/>
      <c r="I168" s="246"/>
      <c r="J168" s="246"/>
      <c r="K168" s="246"/>
      <c r="L168" s="246"/>
      <c r="M168" s="246"/>
      <c r="N168" s="246"/>
      <c r="O168" s="246"/>
      <c r="P168" s="282"/>
      <c r="Q168" s="283"/>
      <c r="R168" s="291"/>
      <c r="S168" s="297" t="str">
        <f t="shared" ca="1" si="15"/>
        <v xml:space="preserve"> </v>
      </c>
    </row>
    <row r="169" spans="1:19">
      <c r="A169" s="533"/>
      <c r="B169" s="247">
        <v>17</v>
      </c>
      <c r="C169" s="248">
        <f t="shared" si="16"/>
        <v>167</v>
      </c>
      <c r="D169" s="249">
        <f t="shared" ca="1" si="17"/>
        <v>27209</v>
      </c>
      <c r="E169" s="265">
        <f t="shared" ca="1" si="12"/>
        <v>-0.86602540378475712</v>
      </c>
      <c r="F169" s="251">
        <f t="shared" ca="1" si="13"/>
        <v>-1</v>
      </c>
      <c r="G169" s="252">
        <f t="shared" ca="1" si="14"/>
        <v>-9.5056043304339283E-2</v>
      </c>
      <c r="H169" s="246"/>
      <c r="I169" s="246"/>
      <c r="J169" s="246"/>
      <c r="K169" s="246"/>
      <c r="L169" s="246"/>
      <c r="M169" s="246"/>
      <c r="N169" s="246"/>
      <c r="O169" s="246"/>
      <c r="P169" s="282"/>
      <c r="Q169" s="283"/>
      <c r="R169" s="291"/>
      <c r="S169" s="297" t="str">
        <f t="shared" ca="1" si="15"/>
        <v xml:space="preserve"> </v>
      </c>
    </row>
    <row r="170" spans="1:19">
      <c r="A170" s="533"/>
      <c r="B170" s="247">
        <v>18</v>
      </c>
      <c r="C170" s="248">
        <f t="shared" si="16"/>
        <v>168</v>
      </c>
      <c r="D170" s="249">
        <f t="shared" ca="1" si="17"/>
        <v>27210</v>
      </c>
      <c r="E170" s="265">
        <f t="shared" ca="1" si="12"/>
        <v>-0.97492791218169284</v>
      </c>
      <c r="F170" s="251">
        <f t="shared" ca="1" si="13"/>
        <v>-0.97492791218192165</v>
      </c>
      <c r="G170" s="252">
        <f t="shared" ca="1" si="14"/>
        <v>-0.28173255684130899</v>
      </c>
      <c r="H170" s="246"/>
      <c r="I170" s="246"/>
      <c r="J170" s="246"/>
      <c r="K170" s="246"/>
      <c r="L170" s="246"/>
      <c r="M170" s="246"/>
      <c r="N170" s="246"/>
      <c r="O170" s="246"/>
      <c r="P170" s="282"/>
      <c r="Q170" s="283"/>
      <c r="R170" s="291"/>
      <c r="S170" s="297" t="str">
        <f t="shared" ca="1" si="15"/>
        <v xml:space="preserve"> </v>
      </c>
    </row>
    <row r="171" spans="1:19">
      <c r="A171" s="533"/>
      <c r="B171" s="247">
        <v>19</v>
      </c>
      <c r="C171" s="248">
        <f t="shared" si="16"/>
        <v>169</v>
      </c>
      <c r="D171" s="249">
        <f t="shared" ca="1" si="17"/>
        <v>27211</v>
      </c>
      <c r="E171" s="265">
        <f t="shared" ca="1" si="12"/>
        <v>-0.99720379718124763</v>
      </c>
      <c r="F171" s="251">
        <f t="shared" ca="1" si="13"/>
        <v>-0.9009688679027128</v>
      </c>
      <c r="G171" s="252">
        <f t="shared" ca="1" si="14"/>
        <v>-0.45822652172704692</v>
      </c>
      <c r="H171" s="246"/>
      <c r="I171" s="246"/>
      <c r="J171" s="246"/>
      <c r="K171" s="246"/>
      <c r="L171" s="246"/>
      <c r="M171" s="246"/>
      <c r="N171" s="246"/>
      <c r="O171" s="246"/>
      <c r="P171" s="282"/>
      <c r="Q171" s="283"/>
      <c r="R171" s="291"/>
      <c r="S171" s="297" t="str">
        <f t="shared" ca="1" si="15"/>
        <v xml:space="preserve"> </v>
      </c>
    </row>
    <row r="172" spans="1:19">
      <c r="A172" s="533"/>
      <c r="B172" s="247">
        <v>20</v>
      </c>
      <c r="C172" s="248">
        <f t="shared" si="16"/>
        <v>170</v>
      </c>
      <c r="D172" s="249">
        <f t="shared" ca="1" si="17"/>
        <v>27212</v>
      </c>
      <c r="E172" s="265">
        <f t="shared" ca="1" si="12"/>
        <v>-0.93087374864398453</v>
      </c>
      <c r="F172" s="251">
        <f t="shared" ca="1" si="13"/>
        <v>-0.78183148246803214</v>
      </c>
      <c r="G172" s="252">
        <f t="shared" ca="1" si="14"/>
        <v>-0.61815898622077614</v>
      </c>
      <c r="H172" s="246"/>
      <c r="I172" s="246"/>
      <c r="J172" s="246"/>
      <c r="K172" s="246"/>
      <c r="L172" s="246"/>
      <c r="M172" s="246"/>
      <c r="N172" s="246"/>
      <c r="O172" s="246"/>
      <c r="P172" s="282"/>
      <c r="Q172" s="283"/>
      <c r="R172" s="291"/>
      <c r="S172" s="297" t="str">
        <f t="shared" ca="1" si="15"/>
        <v>&lt;XXX&gt;</v>
      </c>
    </row>
    <row r="173" spans="1:19">
      <c r="A173" s="533"/>
      <c r="B173" s="247">
        <v>21</v>
      </c>
      <c r="C173" s="248">
        <f t="shared" si="16"/>
        <v>171</v>
      </c>
      <c r="D173" s="249">
        <f t="shared" ca="1" si="17"/>
        <v>27213</v>
      </c>
      <c r="E173" s="265">
        <f t="shared" ca="1" si="12"/>
        <v>-0.78183148246841827</v>
      </c>
      <c r="F173" s="251">
        <f t="shared" ca="1" si="13"/>
        <v>-0.62348980185892111</v>
      </c>
      <c r="G173" s="252">
        <f t="shared" ca="1" si="14"/>
        <v>-0.75574957435421519</v>
      </c>
      <c r="H173" s="246"/>
      <c r="I173" s="246"/>
      <c r="J173" s="246"/>
      <c r="K173" s="246"/>
      <c r="L173" s="246"/>
      <c r="M173" s="246"/>
      <c r="N173" s="246"/>
      <c r="O173" s="246"/>
      <c r="P173" s="282"/>
      <c r="Q173" s="283"/>
      <c r="R173" s="291"/>
      <c r="S173" s="297" t="str">
        <f t="shared" ca="1" si="15"/>
        <v>&lt;XXX&gt;</v>
      </c>
    </row>
    <row r="174" spans="1:19">
      <c r="A174" s="533"/>
      <c r="B174" s="247">
        <v>22</v>
      </c>
      <c r="C174" s="248">
        <f t="shared" si="16"/>
        <v>172</v>
      </c>
      <c r="D174" s="249">
        <f t="shared" ca="1" si="17"/>
        <v>27214</v>
      </c>
      <c r="E174" s="265">
        <f t="shared" ca="1" si="12"/>
        <v>-0.56332005806439711</v>
      </c>
      <c r="F174" s="251">
        <f t="shared" ca="1" si="13"/>
        <v>-0.43388373911798717</v>
      </c>
      <c r="G174" s="252">
        <f t="shared" ca="1" si="14"/>
        <v>-0.86602540378426418</v>
      </c>
      <c r="H174" s="246"/>
      <c r="I174" s="246"/>
      <c r="J174" s="246"/>
      <c r="K174" s="246"/>
      <c r="L174" s="246"/>
      <c r="M174" s="246"/>
      <c r="N174" s="246"/>
      <c r="O174" s="246"/>
      <c r="P174" s="282"/>
      <c r="Q174" s="283"/>
      <c r="R174" s="291"/>
      <c r="S174" s="297" t="str">
        <f t="shared" ca="1" si="15"/>
        <v xml:space="preserve"> </v>
      </c>
    </row>
    <row r="175" spans="1:19">
      <c r="A175" s="533"/>
      <c r="B175" s="247">
        <v>23</v>
      </c>
      <c r="C175" s="248">
        <f t="shared" si="16"/>
        <v>173</v>
      </c>
      <c r="D175" s="249">
        <f t="shared" ca="1" si="17"/>
        <v>27215</v>
      </c>
      <c r="E175" s="265">
        <f t="shared" ca="1" si="12"/>
        <v>-0.29475517441123256</v>
      </c>
      <c r="F175" s="251">
        <f t="shared" ca="1" si="13"/>
        <v>-0.2225209339561223</v>
      </c>
      <c r="G175" s="252">
        <f t="shared" ca="1" si="14"/>
        <v>-0.94500081871475927</v>
      </c>
      <c r="H175" s="246"/>
      <c r="I175" s="246"/>
      <c r="J175" s="246"/>
      <c r="K175" s="246"/>
      <c r="L175" s="246"/>
      <c r="M175" s="246"/>
      <c r="N175" s="246"/>
      <c r="O175" s="246"/>
      <c r="P175" s="282"/>
      <c r="Q175" s="283"/>
      <c r="R175" s="291"/>
      <c r="S175" s="297" t="str">
        <f t="shared" ca="1" si="15"/>
        <v xml:space="preserve"> </v>
      </c>
    </row>
    <row r="176" spans="1:19">
      <c r="A176" s="533"/>
      <c r="B176" s="247">
        <v>24</v>
      </c>
      <c r="C176" s="248">
        <f t="shared" si="16"/>
        <v>174</v>
      </c>
      <c r="D176" s="249">
        <f t="shared" ca="1" si="17"/>
        <v>27216</v>
      </c>
      <c r="E176" s="265">
        <f t="shared" ca="1" si="12"/>
        <v>-6.586189926771624E-13</v>
      </c>
      <c r="F176" s="251">
        <f t="shared" ca="1" si="13"/>
        <v>-3.9216893621407678E-14</v>
      </c>
      <c r="G176" s="252">
        <f t="shared" ca="1" si="14"/>
        <v>-0.98982144188093191</v>
      </c>
      <c r="H176" s="246"/>
      <c r="I176" s="246"/>
      <c r="J176" s="246"/>
      <c r="K176" s="246"/>
      <c r="L176" s="246"/>
      <c r="M176" s="246"/>
      <c r="N176" s="246"/>
      <c r="O176" s="246"/>
      <c r="P176" s="282"/>
      <c r="Q176" s="283"/>
      <c r="R176" s="291"/>
      <c r="S176" s="297" t="str">
        <f t="shared" ca="1" si="15"/>
        <v xml:space="preserve"> </v>
      </c>
    </row>
    <row r="177" spans="1:19">
      <c r="A177" s="533"/>
      <c r="B177" s="247">
        <v>25</v>
      </c>
      <c r="C177" s="248">
        <f t="shared" si="16"/>
        <v>175</v>
      </c>
      <c r="D177" s="249">
        <f t="shared" ca="1" si="17"/>
        <v>27217</v>
      </c>
      <c r="E177" s="265">
        <f t="shared" ca="1" si="12"/>
        <v>0.29475517440997384</v>
      </c>
      <c r="F177" s="251">
        <f t="shared" ca="1" si="13"/>
        <v>0.22252093395604583</v>
      </c>
      <c r="G177" s="252">
        <f t="shared" ca="1" si="14"/>
        <v>-0.99886733918302173</v>
      </c>
      <c r="H177" s="246"/>
      <c r="I177" s="246"/>
      <c r="J177" s="246"/>
      <c r="K177" s="246"/>
      <c r="L177" s="246"/>
      <c r="M177" s="246"/>
      <c r="N177" s="246"/>
      <c r="O177" s="246"/>
      <c r="P177" s="282"/>
      <c r="Q177" s="283"/>
      <c r="R177" s="291"/>
      <c r="S177" s="297" t="str">
        <f t="shared" ca="1" si="15"/>
        <v xml:space="preserve"> </v>
      </c>
    </row>
    <row r="178" spans="1:19">
      <c r="A178" s="533"/>
      <c r="B178" s="247">
        <v>26</v>
      </c>
      <c r="C178" s="248">
        <f t="shared" si="16"/>
        <v>176</v>
      </c>
      <c r="D178" s="249">
        <f t="shared" ca="1" si="17"/>
        <v>27218</v>
      </c>
      <c r="E178" s="265">
        <f t="shared" ca="1" si="12"/>
        <v>0.56332005806330876</v>
      </c>
      <c r="F178" s="251">
        <f t="shared" ca="1" si="13"/>
        <v>0.4338837391179165</v>
      </c>
      <c r="G178" s="252">
        <f t="shared" ca="1" si="14"/>
        <v>-0.97181156832346216</v>
      </c>
      <c r="H178" s="246"/>
      <c r="I178" s="246"/>
      <c r="J178" s="246"/>
      <c r="K178" s="246"/>
      <c r="L178" s="246"/>
      <c r="M178" s="246"/>
      <c r="N178" s="246"/>
      <c r="O178" s="246"/>
      <c r="P178" s="282"/>
      <c r="Q178" s="283"/>
      <c r="R178" s="291"/>
      <c r="S178" s="297" t="str">
        <f t="shared" ca="1" si="15"/>
        <v xml:space="preserve"> </v>
      </c>
    </row>
    <row r="179" spans="1:19">
      <c r="A179" s="533"/>
      <c r="B179" s="247">
        <v>27</v>
      </c>
      <c r="C179" s="248">
        <f t="shared" si="16"/>
        <v>177</v>
      </c>
      <c r="D179" s="249">
        <f t="shared" ca="1" si="17"/>
        <v>27219</v>
      </c>
      <c r="E179" s="265">
        <f t="shared" ca="1" si="12"/>
        <v>0.78183148246759704</v>
      </c>
      <c r="F179" s="251">
        <f t="shared" ca="1" si="13"/>
        <v>0.62348980185814873</v>
      </c>
      <c r="G179" s="252">
        <f t="shared" ca="1" si="14"/>
        <v>-0.90963199535449579</v>
      </c>
      <c r="H179" s="246"/>
      <c r="I179" s="246"/>
      <c r="J179" s="246"/>
      <c r="K179" s="246"/>
      <c r="L179" s="246"/>
      <c r="M179" s="246"/>
      <c r="N179" s="246"/>
      <c r="O179" s="246"/>
      <c r="P179" s="282"/>
      <c r="Q179" s="283"/>
      <c r="R179" s="291"/>
      <c r="S179" s="297" t="str">
        <f t="shared" ca="1" si="15"/>
        <v xml:space="preserve"> </v>
      </c>
    </row>
    <row r="180" spans="1:19">
      <c r="A180" s="533"/>
      <c r="B180" s="247">
        <v>28</v>
      </c>
      <c r="C180" s="248">
        <f t="shared" si="16"/>
        <v>178</v>
      </c>
      <c r="D180" s="249">
        <f t="shared" ca="1" si="17"/>
        <v>27220</v>
      </c>
      <c r="E180" s="265">
        <f t="shared" ca="1" si="12"/>
        <v>0.93087374864383554</v>
      </c>
      <c r="F180" s="251">
        <f t="shared" ca="1" si="13"/>
        <v>0.78183148246741607</v>
      </c>
      <c r="G180" s="252">
        <f t="shared" ca="1" si="14"/>
        <v>-0.8145759520504684</v>
      </c>
      <c r="H180" s="246"/>
      <c r="I180" s="246"/>
      <c r="J180" s="246"/>
      <c r="K180" s="246"/>
      <c r="L180" s="246"/>
      <c r="M180" s="246"/>
      <c r="N180" s="246"/>
      <c r="O180" s="246"/>
      <c r="P180" s="282"/>
      <c r="Q180" s="283"/>
      <c r="R180" s="291"/>
      <c r="S180" s="297" t="str">
        <f t="shared" ca="1" si="15"/>
        <v xml:space="preserve"> </v>
      </c>
    </row>
    <row r="181" spans="1:19">
      <c r="A181" s="533"/>
      <c r="B181" s="247">
        <v>29</v>
      </c>
      <c r="C181" s="248">
        <f t="shared" si="16"/>
        <v>179</v>
      </c>
      <c r="D181" s="249">
        <f t="shared" ca="1" si="17"/>
        <v>27221</v>
      </c>
      <c r="E181" s="265">
        <f t="shared" ca="1" si="12"/>
        <v>0.99720379718114915</v>
      </c>
      <c r="F181" s="251">
        <f t="shared" ca="1" si="13"/>
        <v>0.90096886790228414</v>
      </c>
      <c r="G181" s="252">
        <f t="shared" ca="1" si="14"/>
        <v>-0.69007901148182427</v>
      </c>
      <c r="H181" s="246"/>
      <c r="I181" s="246"/>
      <c r="J181" s="246"/>
      <c r="K181" s="246"/>
      <c r="L181" s="246"/>
      <c r="M181" s="246"/>
      <c r="N181" s="246"/>
      <c r="O181" s="246"/>
      <c r="P181" s="282"/>
      <c r="Q181" s="283"/>
      <c r="R181" s="291"/>
      <c r="S181" s="297" t="str">
        <f t="shared" ca="1" si="15"/>
        <v xml:space="preserve"> </v>
      </c>
    </row>
    <row r="182" spans="1:19" ht="13.5" thickBot="1">
      <c r="A182" s="534"/>
      <c r="B182" s="253">
        <v>30</v>
      </c>
      <c r="C182" s="254">
        <f t="shared" si="16"/>
        <v>180</v>
      </c>
      <c r="D182" s="255">
        <f t="shared" ca="1" si="17"/>
        <v>27222</v>
      </c>
      <c r="E182" s="266">
        <f t="shared" ca="1" si="12"/>
        <v>0.97492791218198604</v>
      </c>
      <c r="F182" s="257">
        <f t="shared" ca="1" si="13"/>
        <v>0.97492791218170183</v>
      </c>
      <c r="G182" s="258">
        <f t="shared" ca="1" si="14"/>
        <v>-0.54064081745626646</v>
      </c>
      <c r="H182" s="246"/>
      <c r="I182" s="246"/>
      <c r="J182" s="246"/>
      <c r="K182" s="246"/>
      <c r="L182" s="246"/>
      <c r="M182" s="246"/>
      <c r="N182" s="246"/>
      <c r="O182" s="246"/>
      <c r="P182" s="284"/>
      <c r="Q182" s="285"/>
      <c r="R182" s="292"/>
      <c r="S182" s="298" t="str">
        <f t="shared" ca="1" si="15"/>
        <v xml:space="preserve"> </v>
      </c>
    </row>
    <row r="183" spans="1:19">
      <c r="A183" s="532" t="s">
        <v>279</v>
      </c>
      <c r="B183" s="267">
        <v>1</v>
      </c>
      <c r="C183" s="260">
        <f t="shared" si="16"/>
        <v>181</v>
      </c>
      <c r="D183" s="261">
        <f t="shared" ca="1" si="17"/>
        <v>27223</v>
      </c>
      <c r="E183" s="262">
        <f t="shared" ca="1" si="12"/>
        <v>0.86602540378405157</v>
      </c>
      <c r="F183" s="263">
        <f t="shared" ca="1" si="13"/>
        <v>1</v>
      </c>
      <c r="G183" s="264">
        <f t="shared" ca="1" si="14"/>
        <v>-0.37166245566048417</v>
      </c>
      <c r="H183" s="246"/>
      <c r="I183" s="246"/>
      <c r="J183" s="246"/>
      <c r="K183" s="246"/>
      <c r="L183" s="246"/>
      <c r="M183" s="246"/>
      <c r="N183" s="246"/>
      <c r="O183" s="246"/>
      <c r="P183" s="280"/>
      <c r="Q183" s="281"/>
      <c r="R183" s="290"/>
      <c r="S183" s="296" t="str">
        <f t="shared" ca="1" si="15"/>
        <v xml:space="preserve"> </v>
      </c>
    </row>
    <row r="184" spans="1:19">
      <c r="A184" s="533"/>
      <c r="B184" s="268">
        <v>2</v>
      </c>
      <c r="C184" s="248">
        <f t="shared" si="16"/>
        <v>182</v>
      </c>
      <c r="D184" s="249">
        <f t="shared" ca="1" si="17"/>
        <v>27224</v>
      </c>
      <c r="E184" s="265">
        <f t="shared" ca="1" si="12"/>
        <v>0.68017273777124942</v>
      </c>
      <c r="F184" s="251">
        <f t="shared" ca="1" si="13"/>
        <v>0.97492791218184816</v>
      </c>
      <c r="G184" s="252">
        <f t="shared" ca="1" si="14"/>
        <v>-0.18925124436085394</v>
      </c>
      <c r="H184" s="246"/>
      <c r="I184" s="246"/>
      <c r="J184" s="246"/>
      <c r="K184" s="246"/>
      <c r="L184" s="246"/>
      <c r="M184" s="246"/>
      <c r="N184" s="246"/>
      <c r="O184" s="246"/>
      <c r="P184" s="282"/>
      <c r="Q184" s="283"/>
      <c r="R184" s="291"/>
      <c r="S184" s="297" t="str">
        <f t="shared" ca="1" si="15"/>
        <v xml:space="preserve"> </v>
      </c>
    </row>
    <row r="185" spans="1:19">
      <c r="A185" s="533"/>
      <c r="B185" s="268">
        <v>3</v>
      </c>
      <c r="C185" s="248">
        <f t="shared" si="16"/>
        <v>183</v>
      </c>
      <c r="D185" s="249">
        <f t="shared" ca="1" si="17"/>
        <v>27225</v>
      </c>
      <c r="E185" s="265">
        <f t="shared" ca="1" si="12"/>
        <v>0.43388373911824762</v>
      </c>
      <c r="F185" s="251">
        <f t="shared" ca="1" si="13"/>
        <v>0.90096886790256947</v>
      </c>
      <c r="G185" s="252">
        <f t="shared" ca="1" si="14"/>
        <v>-7.3505654687999744E-13</v>
      </c>
      <c r="H185" s="246"/>
      <c r="I185" s="246"/>
      <c r="J185" s="246"/>
      <c r="K185" s="246"/>
      <c r="L185" s="246"/>
      <c r="M185" s="246"/>
      <c r="N185" s="246"/>
      <c r="O185" s="246"/>
      <c r="P185" s="282"/>
      <c r="Q185" s="283"/>
      <c r="R185" s="291"/>
      <c r="S185" s="297" t="str">
        <f t="shared" ca="1" si="15"/>
        <v xml:space="preserve"> </v>
      </c>
    </row>
    <row r="186" spans="1:19">
      <c r="A186" s="533"/>
      <c r="B186" s="268">
        <v>4</v>
      </c>
      <c r="C186" s="248">
        <f t="shared" si="16"/>
        <v>184</v>
      </c>
      <c r="D186" s="249">
        <f t="shared" ca="1" si="17"/>
        <v>27226</v>
      </c>
      <c r="E186" s="265">
        <f t="shared" ca="1" si="12"/>
        <v>0.14904226617634336</v>
      </c>
      <c r="F186" s="251">
        <f t="shared" ca="1" si="13"/>
        <v>0.78183148246782619</v>
      </c>
      <c r="G186" s="252">
        <f t="shared" ca="1" si="14"/>
        <v>0.18925124436030347</v>
      </c>
      <c r="H186" s="246"/>
      <c r="I186" s="246"/>
      <c r="J186" s="246"/>
      <c r="K186" s="246"/>
      <c r="L186" s="246"/>
      <c r="M186" s="246"/>
      <c r="N186" s="246"/>
      <c r="O186" s="246"/>
      <c r="P186" s="282"/>
      <c r="Q186" s="283"/>
      <c r="R186" s="291"/>
      <c r="S186" s="297" t="str">
        <f t="shared" ca="1" si="15"/>
        <v xml:space="preserve"> </v>
      </c>
    </row>
    <row r="187" spans="1:19">
      <c r="A187" s="533"/>
      <c r="B187" s="268">
        <v>5</v>
      </c>
      <c r="C187" s="248">
        <f t="shared" si="16"/>
        <v>185</v>
      </c>
      <c r="D187" s="249">
        <f t="shared" ca="1" si="17"/>
        <v>27227</v>
      </c>
      <c r="E187" s="265">
        <f t="shared" ca="1" si="12"/>
        <v>-0.14904226617569402</v>
      </c>
      <c r="F187" s="251">
        <f t="shared" ca="1" si="13"/>
        <v>0.62348980185866287</v>
      </c>
      <c r="G187" s="252">
        <f t="shared" ca="1" si="14"/>
        <v>0.37166245565996375</v>
      </c>
      <c r="H187" s="246"/>
      <c r="I187" s="246"/>
      <c r="J187" s="246"/>
      <c r="K187" s="246"/>
      <c r="L187" s="246"/>
      <c r="M187" s="246"/>
      <c r="N187" s="246"/>
      <c r="O187" s="246"/>
      <c r="P187" s="282"/>
      <c r="Q187" s="283"/>
      <c r="R187" s="291"/>
      <c r="S187" s="297" t="str">
        <f t="shared" ca="1" si="15"/>
        <v xml:space="preserve"> </v>
      </c>
    </row>
    <row r="188" spans="1:19">
      <c r="A188" s="533"/>
      <c r="B188" s="268">
        <v>6</v>
      </c>
      <c r="C188" s="248">
        <f t="shared" si="16"/>
        <v>186</v>
      </c>
      <c r="D188" s="249">
        <f t="shared" ca="1" si="17"/>
        <v>27228</v>
      </c>
      <c r="E188" s="265">
        <f t="shared" ca="1" si="12"/>
        <v>-0.43388373911683659</v>
      </c>
      <c r="F188" s="251">
        <f t="shared" ca="1" si="13"/>
        <v>0.43388373911768957</v>
      </c>
      <c r="G188" s="252">
        <f t="shared" ca="1" si="14"/>
        <v>0.54064081745502968</v>
      </c>
      <c r="H188" s="246"/>
      <c r="I188" s="246"/>
      <c r="J188" s="246"/>
      <c r="K188" s="246"/>
      <c r="L188" s="246"/>
      <c r="M188" s="246"/>
      <c r="N188" s="246"/>
      <c r="O188" s="246"/>
      <c r="P188" s="282"/>
      <c r="Q188" s="283"/>
      <c r="R188" s="291"/>
      <c r="S188" s="297" t="str">
        <f t="shared" ca="1" si="15"/>
        <v xml:space="preserve"> </v>
      </c>
    </row>
    <row r="189" spans="1:19">
      <c r="A189" s="533"/>
      <c r="B189" s="268">
        <v>7</v>
      </c>
      <c r="C189" s="248">
        <f t="shared" si="16"/>
        <v>187</v>
      </c>
      <c r="D189" s="249">
        <f t="shared" ca="1" si="17"/>
        <v>27229</v>
      </c>
      <c r="E189" s="265">
        <f t="shared" ca="1" si="12"/>
        <v>-0.68017273777076814</v>
      </c>
      <c r="F189" s="251">
        <f t="shared" ca="1" si="13"/>
        <v>0.2225209339558003</v>
      </c>
      <c r="G189" s="252">
        <f t="shared" ca="1" si="14"/>
        <v>0.69007901148207673</v>
      </c>
      <c r="H189" s="246"/>
      <c r="I189" s="246"/>
      <c r="J189" s="246"/>
      <c r="K189" s="246"/>
      <c r="L189" s="246"/>
      <c r="M189" s="246"/>
      <c r="N189" s="246"/>
      <c r="O189" s="246"/>
      <c r="P189" s="282"/>
      <c r="Q189" s="283"/>
      <c r="R189" s="291"/>
      <c r="S189" s="297" t="str">
        <f t="shared" ca="1" si="15"/>
        <v xml:space="preserve"> </v>
      </c>
    </row>
    <row r="190" spans="1:19">
      <c r="A190" s="533"/>
      <c r="B190" s="268">
        <v>8</v>
      </c>
      <c r="C190" s="248">
        <f t="shared" si="16"/>
        <v>188</v>
      </c>
      <c r="D190" s="249">
        <f t="shared" ca="1" si="17"/>
        <v>27230</v>
      </c>
      <c r="E190" s="265">
        <f t="shared" ca="1" si="12"/>
        <v>-0.86602540378417792</v>
      </c>
      <c r="F190" s="251">
        <f t="shared" ca="1" si="13"/>
        <v>6.1843173811138019E-13</v>
      </c>
      <c r="G190" s="252">
        <f t="shared" ca="1" si="14"/>
        <v>0.81457595205014321</v>
      </c>
      <c r="H190" s="246"/>
      <c r="I190" s="246"/>
      <c r="J190" s="246"/>
      <c r="K190" s="246"/>
      <c r="L190" s="246"/>
      <c r="M190" s="246"/>
      <c r="N190" s="246"/>
      <c r="O190" s="246"/>
      <c r="P190" s="282"/>
      <c r="Q190" s="283"/>
      <c r="R190" s="291"/>
      <c r="S190" s="297" t="str">
        <f t="shared" ca="1" si="15"/>
        <v xml:space="preserve"> </v>
      </c>
    </row>
    <row r="191" spans="1:19">
      <c r="A191" s="533"/>
      <c r="B191" s="268">
        <v>9</v>
      </c>
      <c r="C191" s="248">
        <f t="shared" si="16"/>
        <v>189</v>
      </c>
      <c r="D191" s="249">
        <f t="shared" ca="1" si="17"/>
        <v>27231</v>
      </c>
      <c r="E191" s="265">
        <f t="shared" ca="1" si="12"/>
        <v>-0.97492791218163743</v>
      </c>
      <c r="F191" s="251">
        <f t="shared" ca="1" si="13"/>
        <v>-0.22252093395548114</v>
      </c>
      <c r="G191" s="252">
        <f t="shared" ca="1" si="14"/>
        <v>0.90963199535426287</v>
      </c>
      <c r="H191" s="246"/>
      <c r="I191" s="246"/>
      <c r="J191" s="246"/>
      <c r="K191" s="246"/>
      <c r="L191" s="246"/>
      <c r="M191" s="246"/>
      <c r="N191" s="246"/>
      <c r="O191" s="246"/>
      <c r="P191" s="282"/>
      <c r="Q191" s="283"/>
      <c r="R191" s="291"/>
      <c r="S191" s="297" t="str">
        <f t="shared" ca="1" si="15"/>
        <v xml:space="preserve"> </v>
      </c>
    </row>
    <row r="192" spans="1:19">
      <c r="A192" s="533"/>
      <c r="B192" s="268">
        <v>10</v>
      </c>
      <c r="C192" s="248">
        <f t="shared" si="16"/>
        <v>190</v>
      </c>
      <c r="D192" s="249">
        <f t="shared" ca="1" si="17"/>
        <v>27232</v>
      </c>
      <c r="E192" s="265">
        <f t="shared" ca="1" si="12"/>
        <v>-0.99720379718119823</v>
      </c>
      <c r="F192" s="251">
        <f t="shared" ca="1" si="13"/>
        <v>-0.43388373911739464</v>
      </c>
      <c r="G192" s="252">
        <f t="shared" ca="1" si="14"/>
        <v>0.97181156832354443</v>
      </c>
      <c r="H192" s="246"/>
      <c r="I192" s="246"/>
      <c r="J192" s="246"/>
      <c r="K192" s="246"/>
      <c r="L192" s="246"/>
      <c r="M192" s="246"/>
      <c r="N192" s="246"/>
      <c r="O192" s="246"/>
      <c r="P192" s="282"/>
      <c r="Q192" s="283"/>
      <c r="R192" s="291"/>
      <c r="S192" s="297" t="str">
        <f t="shared" ca="1" si="15"/>
        <v xml:space="preserve"> </v>
      </c>
    </row>
    <row r="193" spans="1:19">
      <c r="A193" s="533"/>
      <c r="B193" s="268">
        <v>11</v>
      </c>
      <c r="C193" s="248">
        <f t="shared" si="16"/>
        <v>191</v>
      </c>
      <c r="D193" s="249">
        <f t="shared" ca="1" si="17"/>
        <v>27233</v>
      </c>
      <c r="E193" s="265">
        <f t="shared" ca="1" si="12"/>
        <v>-0.93087374864440775</v>
      </c>
      <c r="F193" s="251">
        <f t="shared" ca="1" si="13"/>
        <v>-0.62348980185840697</v>
      </c>
      <c r="G193" s="252">
        <f t="shared" ca="1" si="14"/>
        <v>0.99886733918299508</v>
      </c>
      <c r="H193" s="246"/>
      <c r="I193" s="246"/>
      <c r="J193" s="246"/>
      <c r="K193" s="246"/>
      <c r="L193" s="246"/>
      <c r="M193" s="246"/>
      <c r="N193" s="246"/>
      <c r="O193" s="246"/>
      <c r="P193" s="282"/>
      <c r="Q193" s="283"/>
      <c r="R193" s="291"/>
      <c r="S193" s="297" t="str">
        <f t="shared" ca="1" si="15"/>
        <v xml:space="preserve"> </v>
      </c>
    </row>
    <row r="194" spans="1:19">
      <c r="A194" s="533"/>
      <c r="B194" s="268">
        <v>12</v>
      </c>
      <c r="C194" s="248">
        <f t="shared" si="16"/>
        <v>192</v>
      </c>
      <c r="D194" s="249">
        <f t="shared" ca="1" si="17"/>
        <v>27234</v>
      </c>
      <c r="E194" s="265">
        <f t="shared" ca="1" si="12"/>
        <v>-0.78183148246857348</v>
      </c>
      <c r="F194" s="251">
        <f t="shared" ca="1" si="13"/>
        <v>-0.78183148246762202</v>
      </c>
      <c r="G194" s="252">
        <f t="shared" ca="1" si="14"/>
        <v>0.98982144188101173</v>
      </c>
      <c r="H194" s="246"/>
      <c r="I194" s="246"/>
      <c r="J194" s="246"/>
      <c r="K194" s="246"/>
      <c r="L194" s="246"/>
      <c r="M194" s="246"/>
      <c r="N194" s="246"/>
      <c r="O194" s="246"/>
      <c r="P194" s="282"/>
      <c r="Q194" s="283"/>
      <c r="R194" s="291"/>
      <c r="S194" s="297" t="str">
        <f t="shared" ca="1" si="15"/>
        <v xml:space="preserve"> </v>
      </c>
    </row>
    <row r="195" spans="1:19">
      <c r="A195" s="533"/>
      <c r="B195" s="268">
        <v>13</v>
      </c>
      <c r="C195" s="248">
        <f t="shared" si="16"/>
        <v>193</v>
      </c>
      <c r="D195" s="249">
        <f t="shared" ca="1" si="17"/>
        <v>27235</v>
      </c>
      <c r="E195" s="265">
        <f t="shared" ref="E195:E258" ca="1" si="18">SIN(2*PI()*$D195/21)</f>
        <v>-0.56332005806385133</v>
      </c>
      <c r="F195" s="251">
        <f t="shared" ref="F195:F258" ca="1" si="19">SIN(2*PI()*$D195/28)</f>
        <v>-0.90096886790242747</v>
      </c>
      <c r="G195" s="252">
        <f t="shared" ref="G195:G258" ca="1" si="20">SIN(2*PI()*$D195/33)</f>
        <v>0.94500081871464514</v>
      </c>
      <c r="H195" s="246"/>
      <c r="I195" s="246"/>
      <c r="J195" s="246"/>
      <c r="K195" s="246"/>
      <c r="L195" s="246"/>
      <c r="M195" s="246"/>
      <c r="N195" s="246"/>
      <c r="O195" s="246"/>
      <c r="P195" s="282"/>
      <c r="Q195" s="283"/>
      <c r="R195" s="291"/>
      <c r="S195" s="297" t="str">
        <f t="shared" ref="S195:S258" ca="1" si="21">IF(AND(E195&gt;0.6,F195&gt;0.6,G195&gt;0.6),"&lt;----OK",IF(AND(E195&lt;-0.6,F195&lt;-0.6,G195&lt;-0.6),"&lt;XXX&gt;"," "))</f>
        <v xml:space="preserve"> </v>
      </c>
    </row>
    <row r="196" spans="1:19">
      <c r="A196" s="533"/>
      <c r="B196" s="268">
        <v>14</v>
      </c>
      <c r="C196" s="248">
        <f t="shared" ref="C196:C259" si="22">+C195+1</f>
        <v>194</v>
      </c>
      <c r="D196" s="249">
        <f t="shared" ref="D196:D259" ca="1" si="23">+$D$2+C196</f>
        <v>27236</v>
      </c>
      <c r="E196" s="265">
        <f t="shared" ca="1" si="18"/>
        <v>-0.29475517441147042</v>
      </c>
      <c r="F196" s="251">
        <f t="shared" ca="1" si="19"/>
        <v>-0.97492791218177532</v>
      </c>
      <c r="G196" s="252">
        <f t="shared" ca="1" si="20"/>
        <v>0.86602540378454451</v>
      </c>
      <c r="H196" s="246"/>
      <c r="I196" s="246"/>
      <c r="J196" s="246"/>
      <c r="K196" s="246"/>
      <c r="L196" s="246"/>
      <c r="M196" s="246"/>
      <c r="N196" s="246"/>
      <c r="O196" s="246"/>
      <c r="P196" s="282"/>
      <c r="Q196" s="283"/>
      <c r="R196" s="291"/>
      <c r="S196" s="297" t="str">
        <f t="shared" ca="1" si="21"/>
        <v xml:space="preserve"> </v>
      </c>
    </row>
    <row r="197" spans="1:19">
      <c r="A197" s="533"/>
      <c r="B197" s="268">
        <v>15</v>
      </c>
      <c r="C197" s="248">
        <f t="shared" si="22"/>
        <v>195</v>
      </c>
      <c r="D197" s="249">
        <f t="shared" ca="1" si="23"/>
        <v>27237</v>
      </c>
      <c r="E197" s="265">
        <f t="shared" ca="1" si="18"/>
        <v>-9.0755397988417918E-13</v>
      </c>
      <c r="F197" s="251">
        <f t="shared" ca="1" si="19"/>
        <v>-1</v>
      </c>
      <c r="G197" s="252">
        <f t="shared" ca="1" si="20"/>
        <v>0.75574957435458234</v>
      </c>
      <c r="H197" s="246"/>
      <c r="I197" s="246"/>
      <c r="J197" s="246"/>
      <c r="K197" s="246"/>
      <c r="L197" s="246"/>
      <c r="M197" s="246"/>
      <c r="N197" s="246"/>
      <c r="O197" s="246"/>
      <c r="P197" s="282"/>
      <c r="Q197" s="283"/>
      <c r="R197" s="291"/>
      <c r="S197" s="297" t="str">
        <f t="shared" ca="1" si="21"/>
        <v xml:space="preserve"> </v>
      </c>
    </row>
    <row r="198" spans="1:19">
      <c r="A198" s="533"/>
      <c r="B198" s="268">
        <v>16</v>
      </c>
      <c r="C198" s="248">
        <f t="shared" si="22"/>
        <v>196</v>
      </c>
      <c r="D198" s="249">
        <f t="shared" ca="1" si="23"/>
        <v>27238</v>
      </c>
      <c r="E198" s="265">
        <f t="shared" ca="1" si="18"/>
        <v>0.29475517441060506</v>
      </c>
      <c r="F198" s="251">
        <f t="shared" ca="1" si="19"/>
        <v>-0.97492791218177466</v>
      </c>
      <c r="G198" s="252">
        <f t="shared" ca="1" si="20"/>
        <v>0.6181589862205018</v>
      </c>
      <c r="H198" s="246"/>
      <c r="I198" s="246"/>
      <c r="J198" s="246"/>
      <c r="K198" s="246"/>
      <c r="L198" s="246"/>
      <c r="M198" s="246"/>
      <c r="N198" s="246"/>
      <c r="O198" s="246"/>
      <c r="P198" s="282"/>
      <c r="Q198" s="283"/>
      <c r="R198" s="291"/>
      <c r="S198" s="297" t="str">
        <f t="shared" ca="1" si="21"/>
        <v xml:space="preserve"> </v>
      </c>
    </row>
    <row r="199" spans="1:19">
      <c r="A199" s="533"/>
      <c r="B199" s="268">
        <v>17</v>
      </c>
      <c r="C199" s="248">
        <f t="shared" si="22"/>
        <v>197</v>
      </c>
      <c r="D199" s="249">
        <f t="shared" ca="1" si="23"/>
        <v>27239</v>
      </c>
      <c r="E199" s="265">
        <f t="shared" ca="1" si="18"/>
        <v>0.56332005806310304</v>
      </c>
      <c r="F199" s="251">
        <f t="shared" ca="1" si="19"/>
        <v>-0.90096886790242625</v>
      </c>
      <c r="G199" s="252">
        <f t="shared" ca="1" si="20"/>
        <v>0.45822652172754519</v>
      </c>
      <c r="H199" s="246"/>
      <c r="I199" s="246"/>
      <c r="J199" s="246"/>
      <c r="K199" s="246"/>
      <c r="L199" s="246"/>
      <c r="M199" s="246"/>
      <c r="N199" s="246"/>
      <c r="O199" s="246"/>
      <c r="P199" s="282"/>
      <c r="Q199" s="283"/>
      <c r="R199" s="291"/>
      <c r="S199" s="297" t="str">
        <f t="shared" ca="1" si="21"/>
        <v xml:space="preserve"> </v>
      </c>
    </row>
    <row r="200" spans="1:19">
      <c r="A200" s="533"/>
      <c r="B200" s="268">
        <v>18</v>
      </c>
      <c r="C200" s="248">
        <f t="shared" si="22"/>
        <v>198</v>
      </c>
      <c r="D200" s="249">
        <f t="shared" ca="1" si="23"/>
        <v>27240</v>
      </c>
      <c r="E200" s="265">
        <f t="shared" ca="1" si="18"/>
        <v>0.78183148246800882</v>
      </c>
      <c r="F200" s="251">
        <f t="shared" ca="1" si="19"/>
        <v>-0.78183148246762024</v>
      </c>
      <c r="G200" s="252">
        <f t="shared" ca="1" si="20"/>
        <v>0.28173255684097426</v>
      </c>
      <c r="H200" s="246"/>
      <c r="I200" s="246"/>
      <c r="J200" s="246"/>
      <c r="K200" s="246"/>
      <c r="L200" s="246"/>
      <c r="M200" s="246"/>
      <c r="N200" s="246"/>
      <c r="O200" s="246"/>
      <c r="P200" s="282"/>
      <c r="Q200" s="283"/>
      <c r="R200" s="291"/>
      <c r="S200" s="297" t="str">
        <f t="shared" ca="1" si="21"/>
        <v xml:space="preserve"> </v>
      </c>
    </row>
    <row r="201" spans="1:19">
      <c r="A201" s="533"/>
      <c r="B201" s="268">
        <v>19</v>
      </c>
      <c r="C201" s="248">
        <f t="shared" si="22"/>
        <v>199</v>
      </c>
      <c r="D201" s="249">
        <f t="shared" ca="1" si="23"/>
        <v>27241</v>
      </c>
      <c r="E201" s="265">
        <f t="shared" ca="1" si="18"/>
        <v>0.9308737486440769</v>
      </c>
      <c r="F201" s="251">
        <f t="shared" ca="1" si="19"/>
        <v>-0.62348980185911573</v>
      </c>
      <c r="G201" s="252">
        <f t="shared" ca="1" si="20"/>
        <v>9.5056043303991991E-2</v>
      </c>
      <c r="H201" s="246"/>
      <c r="I201" s="246"/>
      <c r="J201" s="246"/>
      <c r="K201" s="246"/>
      <c r="L201" s="246"/>
      <c r="M201" s="246"/>
      <c r="N201" s="246"/>
      <c r="O201" s="246"/>
      <c r="P201" s="282"/>
      <c r="Q201" s="283"/>
      <c r="R201" s="291"/>
      <c r="S201" s="297" t="str">
        <f t="shared" ca="1" si="21"/>
        <v xml:space="preserve"> </v>
      </c>
    </row>
    <row r="202" spans="1:19">
      <c r="A202" s="533"/>
      <c r="B202" s="268">
        <v>20</v>
      </c>
      <c r="C202" s="248">
        <f t="shared" si="22"/>
        <v>200</v>
      </c>
      <c r="D202" s="249">
        <f t="shared" ca="1" si="23"/>
        <v>27242</v>
      </c>
      <c r="E202" s="265">
        <f t="shared" ca="1" si="18"/>
        <v>0.9972037971811305</v>
      </c>
      <c r="F202" s="251">
        <f t="shared" ca="1" si="19"/>
        <v>-0.43388373911821143</v>
      </c>
      <c r="G202" s="252">
        <f t="shared" ca="1" si="20"/>
        <v>-9.5056043304091481E-2</v>
      </c>
      <c r="H202" s="246"/>
      <c r="I202" s="246"/>
      <c r="J202" s="246"/>
      <c r="K202" s="246"/>
      <c r="L202" s="246"/>
      <c r="M202" s="246"/>
      <c r="N202" s="246"/>
      <c r="O202" s="246"/>
      <c r="P202" s="282"/>
      <c r="Q202" s="283"/>
      <c r="R202" s="291"/>
      <c r="S202" s="297" t="str">
        <f t="shared" ca="1" si="21"/>
        <v xml:space="preserve"> </v>
      </c>
    </row>
    <row r="203" spans="1:19">
      <c r="A203" s="533"/>
      <c r="B203" s="268">
        <v>21</v>
      </c>
      <c r="C203" s="248">
        <f t="shared" si="22"/>
        <v>201</v>
      </c>
      <c r="D203" s="249">
        <f t="shared" ca="1" si="23"/>
        <v>27243</v>
      </c>
      <c r="E203" s="265">
        <f t="shared" ca="1" si="18"/>
        <v>0.97492791218183905</v>
      </c>
      <c r="F203" s="251">
        <f t="shared" ca="1" si="19"/>
        <v>-0.22252093395636499</v>
      </c>
      <c r="G203" s="252">
        <f t="shared" ca="1" si="20"/>
        <v>-0.28173255684194276</v>
      </c>
      <c r="H203" s="246"/>
      <c r="I203" s="246"/>
      <c r="J203" s="246"/>
      <c r="K203" s="246"/>
      <c r="L203" s="246"/>
      <c r="M203" s="246"/>
      <c r="N203" s="246"/>
      <c r="O203" s="246"/>
      <c r="P203" s="282"/>
      <c r="Q203" s="283"/>
      <c r="R203" s="291"/>
      <c r="S203" s="297" t="str">
        <f t="shared" ca="1" si="21"/>
        <v xml:space="preserve"> </v>
      </c>
    </row>
    <row r="204" spans="1:19">
      <c r="A204" s="533"/>
      <c r="B204" s="268">
        <v>22</v>
      </c>
      <c r="C204" s="248">
        <f t="shared" si="22"/>
        <v>202</v>
      </c>
      <c r="D204" s="249">
        <f t="shared" ca="1" si="23"/>
        <v>27244</v>
      </c>
      <c r="E204" s="265">
        <f t="shared" ca="1" si="18"/>
        <v>0.86602540378463078</v>
      </c>
      <c r="F204" s="251">
        <f t="shared" ca="1" si="19"/>
        <v>-2.8815188082842447E-13</v>
      </c>
      <c r="G204" s="252">
        <f t="shared" ca="1" si="20"/>
        <v>-0.45822652172763401</v>
      </c>
      <c r="H204" s="246"/>
      <c r="I204" s="246"/>
      <c r="J204" s="246"/>
      <c r="K204" s="246"/>
      <c r="L204" s="246"/>
      <c r="M204" s="246"/>
      <c r="N204" s="246"/>
      <c r="O204" s="246"/>
      <c r="P204" s="282"/>
      <c r="Q204" s="283"/>
      <c r="R204" s="291"/>
      <c r="S204" s="297" t="str">
        <f t="shared" ca="1" si="21"/>
        <v xml:space="preserve"> </v>
      </c>
    </row>
    <row r="205" spans="1:19">
      <c r="A205" s="533"/>
      <c r="B205" s="268">
        <v>23</v>
      </c>
      <c r="C205" s="248">
        <f t="shared" si="22"/>
        <v>203</v>
      </c>
      <c r="D205" s="249">
        <f t="shared" ca="1" si="23"/>
        <v>27245</v>
      </c>
      <c r="E205" s="265">
        <f t="shared" ca="1" si="18"/>
        <v>0.68017273777143195</v>
      </c>
      <c r="F205" s="251">
        <f t="shared" ca="1" si="19"/>
        <v>0.22252093395580314</v>
      </c>
      <c r="G205" s="252">
        <f t="shared" ca="1" si="20"/>
        <v>-0.61815898622058041</v>
      </c>
      <c r="H205" s="246"/>
      <c r="I205" s="246"/>
      <c r="J205" s="246"/>
      <c r="K205" s="246"/>
      <c r="L205" s="246"/>
      <c r="M205" s="246"/>
      <c r="N205" s="246"/>
      <c r="O205" s="246"/>
      <c r="P205" s="282"/>
      <c r="Q205" s="283"/>
      <c r="R205" s="291"/>
      <c r="S205" s="297" t="str">
        <f t="shared" ca="1" si="21"/>
        <v xml:space="preserve"> </v>
      </c>
    </row>
    <row r="206" spans="1:19">
      <c r="A206" s="533"/>
      <c r="B206" s="268">
        <v>24</v>
      </c>
      <c r="C206" s="248">
        <f t="shared" si="22"/>
        <v>204</v>
      </c>
      <c r="D206" s="249">
        <f t="shared" ca="1" si="23"/>
        <v>27246</v>
      </c>
      <c r="E206" s="265">
        <f t="shared" ca="1" si="18"/>
        <v>0.43388373911765249</v>
      </c>
      <c r="F206" s="251">
        <f t="shared" ca="1" si="19"/>
        <v>0.43388373911769218</v>
      </c>
      <c r="G206" s="252">
        <f t="shared" ca="1" si="20"/>
        <v>-0.75574957435405221</v>
      </c>
      <c r="H206" s="246"/>
      <c r="I206" s="246"/>
      <c r="J206" s="246"/>
      <c r="K206" s="246"/>
      <c r="L206" s="246"/>
      <c r="M206" s="246"/>
      <c r="N206" s="246"/>
      <c r="O206" s="246"/>
      <c r="P206" s="282"/>
      <c r="Q206" s="283"/>
      <c r="R206" s="291"/>
      <c r="S206" s="297" t="str">
        <f t="shared" ca="1" si="21"/>
        <v xml:space="preserve"> </v>
      </c>
    </row>
    <row r="207" spans="1:19">
      <c r="A207" s="533"/>
      <c r="B207" s="268">
        <v>25</v>
      </c>
      <c r="C207" s="248">
        <f t="shared" si="22"/>
        <v>205</v>
      </c>
      <c r="D207" s="249">
        <f t="shared" ca="1" si="23"/>
        <v>27247</v>
      </c>
      <c r="E207" s="265">
        <f t="shared" ca="1" si="18"/>
        <v>0.14904226617658953</v>
      </c>
      <c r="F207" s="251">
        <f t="shared" ca="1" si="19"/>
        <v>0.6234898018586652</v>
      </c>
      <c r="G207" s="252">
        <f t="shared" ca="1" si="20"/>
        <v>-0.86602540378413972</v>
      </c>
      <c r="H207" s="246"/>
      <c r="I207" s="246"/>
      <c r="J207" s="246"/>
      <c r="K207" s="246"/>
      <c r="L207" s="246"/>
      <c r="M207" s="246"/>
      <c r="N207" s="246"/>
      <c r="O207" s="246"/>
      <c r="P207" s="282"/>
      <c r="Q207" s="283"/>
      <c r="R207" s="291"/>
      <c r="S207" s="297" t="str">
        <f t="shared" ca="1" si="21"/>
        <v xml:space="preserve"> </v>
      </c>
    </row>
    <row r="208" spans="1:19">
      <c r="A208" s="533"/>
      <c r="B208" s="268">
        <v>26</v>
      </c>
      <c r="C208" s="248">
        <f t="shared" si="22"/>
        <v>206</v>
      </c>
      <c r="D208" s="249">
        <f t="shared" ca="1" si="23"/>
        <v>27248</v>
      </c>
      <c r="E208" s="265">
        <f t="shared" ca="1" si="18"/>
        <v>-0.14904226617544786</v>
      </c>
      <c r="F208" s="251">
        <f t="shared" ca="1" si="19"/>
        <v>0.78183148246782797</v>
      </c>
      <c r="G208" s="252">
        <f t="shared" ca="1" si="20"/>
        <v>-0.94500081871438035</v>
      </c>
      <c r="H208" s="246"/>
      <c r="I208" s="246"/>
      <c r="J208" s="246"/>
      <c r="K208" s="246"/>
      <c r="L208" s="246"/>
      <c r="M208" s="246"/>
      <c r="N208" s="246"/>
      <c r="O208" s="246"/>
      <c r="P208" s="282"/>
      <c r="Q208" s="283"/>
      <c r="R208" s="291"/>
      <c r="S208" s="297" t="str">
        <f t="shared" ca="1" si="21"/>
        <v xml:space="preserve"> </v>
      </c>
    </row>
    <row r="209" spans="1:19">
      <c r="A209" s="533"/>
      <c r="B209" s="268">
        <v>27</v>
      </c>
      <c r="C209" s="248">
        <f t="shared" si="22"/>
        <v>207</v>
      </c>
      <c r="D209" s="249">
        <f t="shared" ca="1" si="23"/>
        <v>27249</v>
      </c>
      <c r="E209" s="265">
        <f t="shared" ca="1" si="18"/>
        <v>-0.43388373911743172</v>
      </c>
      <c r="F209" s="251">
        <f t="shared" ca="1" si="19"/>
        <v>0.9009688679025708</v>
      </c>
      <c r="G209" s="252">
        <f t="shared" ca="1" si="20"/>
        <v>-0.98982144188089649</v>
      </c>
      <c r="H209" s="246"/>
      <c r="I209" s="246"/>
      <c r="J209" s="246"/>
      <c r="K209" s="246"/>
      <c r="L209" s="246"/>
      <c r="M209" s="246"/>
      <c r="N209" s="246"/>
      <c r="O209" s="246"/>
      <c r="P209" s="282"/>
      <c r="Q209" s="283"/>
      <c r="R209" s="291"/>
      <c r="S209" s="297" t="str">
        <f t="shared" ca="1" si="21"/>
        <v xml:space="preserve"> </v>
      </c>
    </row>
    <row r="210" spans="1:19">
      <c r="A210" s="533"/>
      <c r="B210" s="268">
        <v>28</v>
      </c>
      <c r="C210" s="248">
        <f t="shared" si="22"/>
        <v>208</v>
      </c>
      <c r="D210" s="249">
        <f t="shared" ca="1" si="23"/>
        <v>27250</v>
      </c>
      <c r="E210" s="265">
        <f t="shared" ca="1" si="18"/>
        <v>-0.68017273777058562</v>
      </c>
      <c r="F210" s="251">
        <f t="shared" ca="1" si="19"/>
        <v>0.97492791218184882</v>
      </c>
      <c r="G210" s="252">
        <f t="shared" ca="1" si="20"/>
        <v>-0.99886733918303361</v>
      </c>
      <c r="H210" s="246"/>
      <c r="I210" s="246"/>
      <c r="J210" s="246"/>
      <c r="K210" s="246"/>
      <c r="L210" s="246"/>
      <c r="M210" s="246"/>
      <c r="N210" s="246"/>
      <c r="O210" s="246"/>
      <c r="P210" s="282"/>
      <c r="Q210" s="283"/>
      <c r="R210" s="291"/>
      <c r="S210" s="297" t="str">
        <f t="shared" ca="1" si="21"/>
        <v xml:space="preserve"> </v>
      </c>
    </row>
    <row r="211" spans="1:19">
      <c r="A211" s="533"/>
      <c r="B211" s="268">
        <v>29</v>
      </c>
      <c r="C211" s="248">
        <f t="shared" si="22"/>
        <v>209</v>
      </c>
      <c r="D211" s="249">
        <f t="shared" ca="1" si="23"/>
        <v>27251</v>
      </c>
      <c r="E211" s="265">
        <f t="shared" ca="1" si="18"/>
        <v>-0.86602540378405346</v>
      </c>
      <c r="F211" s="251">
        <f t="shared" ca="1" si="19"/>
        <v>1</v>
      </c>
      <c r="G211" s="252">
        <f t="shared" ca="1" si="20"/>
        <v>-0.97181156832373528</v>
      </c>
      <c r="H211" s="246"/>
      <c r="I211" s="246"/>
      <c r="J211" s="246"/>
      <c r="K211" s="246"/>
      <c r="L211" s="246"/>
      <c r="M211" s="246"/>
      <c r="N211" s="246"/>
      <c r="O211" s="246"/>
      <c r="P211" s="282"/>
      <c r="Q211" s="283"/>
      <c r="R211" s="291"/>
      <c r="S211" s="297" t="str">
        <f t="shared" ca="1" si="21"/>
        <v xml:space="preserve"> </v>
      </c>
    </row>
    <row r="212" spans="1:19">
      <c r="A212" s="533"/>
      <c r="B212" s="268">
        <v>30</v>
      </c>
      <c r="C212" s="248">
        <f t="shared" si="22"/>
        <v>210</v>
      </c>
      <c r="D212" s="249">
        <f t="shared" ca="1" si="23"/>
        <v>27252</v>
      </c>
      <c r="E212" s="265">
        <f t="shared" ca="1" si="18"/>
        <v>-0.97492791218178443</v>
      </c>
      <c r="F212" s="251">
        <f t="shared" ca="1" si="19"/>
        <v>0.97492791218190356</v>
      </c>
      <c r="G212" s="252">
        <f t="shared" ca="1" si="20"/>
        <v>-0.90963199535459927</v>
      </c>
      <c r="H212" s="246"/>
      <c r="I212" s="246"/>
      <c r="J212" s="246"/>
      <c r="K212" s="246"/>
      <c r="L212" s="246"/>
      <c r="M212" s="246"/>
      <c r="N212" s="246"/>
      <c r="O212" s="246"/>
      <c r="P212" s="282"/>
      <c r="Q212" s="283"/>
      <c r="R212" s="291"/>
      <c r="S212" s="297" t="str">
        <f t="shared" ca="1" si="21"/>
        <v xml:space="preserve"> </v>
      </c>
    </row>
    <row r="213" spans="1:19" ht="13.5" thickBot="1">
      <c r="A213" s="534"/>
      <c r="B213" s="269">
        <v>31</v>
      </c>
      <c r="C213" s="254">
        <f t="shared" si="22"/>
        <v>211</v>
      </c>
      <c r="D213" s="255">
        <f t="shared" ca="1" si="23"/>
        <v>27253</v>
      </c>
      <c r="E213" s="266">
        <f t="shared" ca="1" si="18"/>
        <v>-0.99720379718121688</v>
      </c>
      <c r="F213" s="257">
        <f t="shared" ca="1" si="19"/>
        <v>0.90096886790267749</v>
      </c>
      <c r="G213" s="258">
        <f t="shared" ca="1" si="20"/>
        <v>-0.81457595205061284</v>
      </c>
      <c r="H213" s="246"/>
      <c r="I213" s="246"/>
      <c r="J213" s="246"/>
      <c r="K213" s="246"/>
      <c r="L213" s="246"/>
      <c r="M213" s="246"/>
      <c r="N213" s="246"/>
      <c r="O213" s="246"/>
      <c r="P213" s="284"/>
      <c r="Q213" s="285"/>
      <c r="R213" s="292"/>
      <c r="S213" s="298" t="str">
        <f t="shared" ca="1" si="21"/>
        <v xml:space="preserve"> </v>
      </c>
    </row>
    <row r="214" spans="1:19" ht="12.75" customHeight="1">
      <c r="A214" s="532" t="s">
        <v>280</v>
      </c>
      <c r="B214" s="267">
        <v>1</v>
      </c>
      <c r="C214" s="260">
        <f t="shared" si="22"/>
        <v>212</v>
      </c>
      <c r="D214" s="261">
        <f t="shared" ca="1" si="23"/>
        <v>27254</v>
      </c>
      <c r="E214" s="262">
        <f t="shared" ca="1" si="18"/>
        <v>-0.93087374864449868</v>
      </c>
      <c r="F214" s="263">
        <f t="shared" ca="1" si="19"/>
        <v>0.78183148246854839</v>
      </c>
      <c r="G214" s="264">
        <f t="shared" ca="1" si="20"/>
        <v>-0.69007901148266271</v>
      </c>
      <c r="H214" s="246"/>
      <c r="I214" s="246"/>
      <c r="J214" s="246"/>
      <c r="K214" s="246"/>
      <c r="L214" s="246"/>
      <c r="M214" s="246"/>
      <c r="N214" s="246"/>
      <c r="O214" s="246"/>
      <c r="P214" s="280"/>
      <c r="Q214" s="281"/>
      <c r="R214" s="290"/>
      <c r="S214" s="296" t="str">
        <f t="shared" ca="1" si="21"/>
        <v xml:space="preserve"> </v>
      </c>
    </row>
    <row r="215" spans="1:19">
      <c r="A215" s="533"/>
      <c r="B215" s="268">
        <v>2</v>
      </c>
      <c r="C215" s="248">
        <f t="shared" si="22"/>
        <v>213</v>
      </c>
      <c r="D215" s="249">
        <f t="shared" ca="1" si="23"/>
        <v>27255</v>
      </c>
      <c r="E215" s="265">
        <f t="shared" ca="1" si="18"/>
        <v>-0.78183148246816159</v>
      </c>
      <c r="F215" s="251">
        <f t="shared" ca="1" si="19"/>
        <v>0.6234898018588575</v>
      </c>
      <c r="G215" s="252">
        <f t="shared" ca="1" si="20"/>
        <v>-0.5406408174557108</v>
      </c>
      <c r="H215" s="246"/>
      <c r="I215" s="246"/>
      <c r="J215" s="246"/>
      <c r="K215" s="246"/>
      <c r="L215" s="246"/>
      <c r="M215" s="246"/>
      <c r="N215" s="246"/>
      <c r="O215" s="246"/>
      <c r="P215" s="282"/>
      <c r="Q215" s="283"/>
      <c r="R215" s="291"/>
      <c r="S215" s="297" t="str">
        <f t="shared" ca="1" si="21"/>
        <v xml:space="preserve"> </v>
      </c>
    </row>
    <row r="216" spans="1:19">
      <c r="A216" s="533"/>
      <c r="B216" s="268">
        <v>3</v>
      </c>
      <c r="C216" s="248">
        <f t="shared" si="22"/>
        <v>214</v>
      </c>
      <c r="D216" s="249">
        <f t="shared" ca="1" si="23"/>
        <v>27256</v>
      </c>
      <c r="E216" s="265">
        <f t="shared" ca="1" si="18"/>
        <v>-0.56332005806405705</v>
      </c>
      <c r="F216" s="251">
        <f t="shared" ca="1" si="19"/>
        <v>0.43388373911791384</v>
      </c>
      <c r="G216" s="252">
        <f t="shared" ca="1" si="20"/>
        <v>-0.37166245566071532</v>
      </c>
      <c r="H216" s="246"/>
      <c r="I216" s="246"/>
      <c r="J216" s="246"/>
      <c r="K216" s="246"/>
      <c r="L216" s="246"/>
      <c r="M216" s="246"/>
      <c r="N216" s="246"/>
      <c r="O216" s="246"/>
      <c r="P216" s="282"/>
      <c r="Q216" s="283"/>
      <c r="R216" s="291"/>
      <c r="S216" s="297" t="str">
        <f t="shared" ca="1" si="21"/>
        <v xml:space="preserve"> </v>
      </c>
    </row>
    <row r="217" spans="1:19">
      <c r="A217" s="533"/>
      <c r="B217" s="268">
        <v>4</v>
      </c>
      <c r="C217" s="248">
        <f t="shared" si="22"/>
        <v>215</v>
      </c>
      <c r="D217" s="249">
        <f t="shared" ca="1" si="23"/>
        <v>27257</v>
      </c>
      <c r="E217" s="265">
        <f t="shared" ca="1" si="18"/>
        <v>-0.2947551744108392</v>
      </c>
      <c r="F217" s="251">
        <f t="shared" ca="1" si="19"/>
        <v>0.222520933956043</v>
      </c>
      <c r="G217" s="252">
        <f t="shared" ca="1" si="20"/>
        <v>-0.18925124436020532</v>
      </c>
      <c r="H217" s="246"/>
      <c r="I217" s="246"/>
      <c r="J217" s="246"/>
      <c r="K217" s="246"/>
      <c r="L217" s="246"/>
      <c r="M217" s="246"/>
      <c r="N217" s="246"/>
      <c r="O217" s="246"/>
      <c r="P217" s="282"/>
      <c r="Q217" s="283"/>
      <c r="R217" s="291"/>
      <c r="S217" s="297" t="str">
        <f t="shared" ca="1" si="21"/>
        <v xml:space="preserve"> </v>
      </c>
    </row>
    <row r="218" spans="1:19">
      <c r="A218" s="533"/>
      <c r="B218" s="268">
        <v>5</v>
      </c>
      <c r="C218" s="248">
        <f t="shared" si="22"/>
        <v>216</v>
      </c>
      <c r="D218" s="249">
        <f t="shared" ca="1" si="23"/>
        <v>27258</v>
      </c>
      <c r="E218" s="265">
        <f t="shared" ca="1" si="18"/>
        <v>-2.4699426531826774E-13</v>
      </c>
      <c r="F218" s="251">
        <f t="shared" ca="1" si="19"/>
        <v>-4.2127976454531257E-14</v>
      </c>
      <c r="G218" s="252">
        <f t="shared" ca="1" si="20"/>
        <v>-7.4496832314085992E-14</v>
      </c>
      <c r="H218" s="246"/>
      <c r="I218" s="246"/>
      <c r="J218" s="246"/>
      <c r="K218" s="246"/>
      <c r="L218" s="246"/>
      <c r="M218" s="246"/>
      <c r="N218" s="246"/>
      <c r="O218" s="246"/>
      <c r="P218" s="282"/>
      <c r="Q218" s="283"/>
      <c r="R218" s="291"/>
      <c r="S218" s="297" t="str">
        <f t="shared" ca="1" si="21"/>
        <v xml:space="preserve"> </v>
      </c>
    </row>
    <row r="219" spans="1:19">
      <c r="A219" s="533"/>
      <c r="B219" s="268">
        <v>6</v>
      </c>
      <c r="C219" s="248">
        <f t="shared" si="22"/>
        <v>217</v>
      </c>
      <c r="D219" s="249">
        <f t="shared" ca="1" si="23"/>
        <v>27259</v>
      </c>
      <c r="E219" s="265">
        <f t="shared" ca="1" si="18"/>
        <v>0.29475517441036719</v>
      </c>
      <c r="F219" s="251">
        <f t="shared" ca="1" si="19"/>
        <v>-0.22252093395612513</v>
      </c>
      <c r="G219" s="252">
        <f t="shared" ca="1" si="20"/>
        <v>0.18925124436005902</v>
      </c>
      <c r="H219" s="246"/>
      <c r="I219" s="246"/>
      <c r="J219" s="246"/>
      <c r="K219" s="246"/>
      <c r="L219" s="246"/>
      <c r="M219" s="246"/>
      <c r="N219" s="246"/>
      <c r="O219" s="246"/>
      <c r="P219" s="282"/>
      <c r="Q219" s="283"/>
      <c r="R219" s="291"/>
      <c r="S219" s="297" t="str">
        <f t="shared" ca="1" si="21"/>
        <v xml:space="preserve"> </v>
      </c>
    </row>
    <row r="220" spans="1:19">
      <c r="A220" s="533"/>
      <c r="B220" s="268">
        <v>7</v>
      </c>
      <c r="C220" s="248">
        <f t="shared" si="22"/>
        <v>218</v>
      </c>
      <c r="D220" s="249">
        <f t="shared" ca="1" si="23"/>
        <v>27260</v>
      </c>
      <c r="E220" s="265">
        <f t="shared" ca="1" si="18"/>
        <v>0.56332005806364882</v>
      </c>
      <c r="F220" s="251">
        <f t="shared" ca="1" si="19"/>
        <v>-0.43388373911798978</v>
      </c>
      <c r="G220" s="252">
        <f t="shared" ca="1" si="20"/>
        <v>0.37166245566057698</v>
      </c>
      <c r="H220" s="246"/>
      <c r="I220" s="246"/>
      <c r="J220" s="246"/>
      <c r="K220" s="246"/>
      <c r="L220" s="246"/>
      <c r="M220" s="246"/>
      <c r="N220" s="246"/>
      <c r="O220" s="246"/>
      <c r="P220" s="282"/>
      <c r="Q220" s="283"/>
      <c r="R220" s="291"/>
      <c r="S220" s="297" t="str">
        <f t="shared" ca="1" si="21"/>
        <v xml:space="preserve"> </v>
      </c>
    </row>
    <row r="221" spans="1:19">
      <c r="A221" s="533"/>
      <c r="B221" s="268">
        <v>8</v>
      </c>
      <c r="C221" s="248">
        <f t="shared" si="22"/>
        <v>219</v>
      </c>
      <c r="D221" s="249">
        <f t="shared" ca="1" si="23"/>
        <v>27261</v>
      </c>
      <c r="E221" s="265">
        <f t="shared" ca="1" si="18"/>
        <v>0.78183148246785361</v>
      </c>
      <c r="F221" s="251">
        <f t="shared" ca="1" si="19"/>
        <v>-0.62348980185892333</v>
      </c>
      <c r="G221" s="252">
        <f t="shared" ca="1" si="20"/>
        <v>0.54064081745558545</v>
      </c>
      <c r="H221" s="246"/>
      <c r="I221" s="246"/>
      <c r="J221" s="246"/>
      <c r="K221" s="246"/>
      <c r="L221" s="246"/>
      <c r="M221" s="246"/>
      <c r="N221" s="246"/>
      <c r="O221" s="246"/>
      <c r="P221" s="282"/>
      <c r="Q221" s="283"/>
      <c r="R221" s="291"/>
      <c r="S221" s="297" t="str">
        <f t="shared" ca="1" si="21"/>
        <v xml:space="preserve"> </v>
      </c>
    </row>
    <row r="222" spans="1:19">
      <c r="A222" s="533"/>
      <c r="B222" s="268">
        <v>9</v>
      </c>
      <c r="C222" s="248">
        <f t="shared" si="22"/>
        <v>220</v>
      </c>
      <c r="D222" s="249">
        <f t="shared" ca="1" si="23"/>
        <v>27262</v>
      </c>
      <c r="E222" s="265">
        <f t="shared" ca="1" si="18"/>
        <v>0.93087374864398598</v>
      </c>
      <c r="F222" s="251">
        <f t="shared" ca="1" si="19"/>
        <v>-0.78183148246746681</v>
      </c>
      <c r="G222" s="252">
        <f t="shared" ca="1" si="20"/>
        <v>0.69007901148189665</v>
      </c>
      <c r="H222" s="246"/>
      <c r="I222" s="246"/>
      <c r="J222" s="246"/>
      <c r="K222" s="246"/>
      <c r="L222" s="246"/>
      <c r="M222" s="246"/>
      <c r="N222" s="246"/>
      <c r="O222" s="246"/>
      <c r="P222" s="282"/>
      <c r="Q222" s="283"/>
      <c r="R222" s="291"/>
      <c r="S222" s="297" t="str">
        <f t="shared" ca="1" si="21"/>
        <v xml:space="preserve"> </v>
      </c>
    </row>
    <row r="223" spans="1:19">
      <c r="A223" s="533"/>
      <c r="B223" s="268">
        <v>10</v>
      </c>
      <c r="C223" s="248">
        <f t="shared" si="22"/>
        <v>221</v>
      </c>
      <c r="D223" s="249">
        <f t="shared" ca="1" si="23"/>
        <v>27263</v>
      </c>
      <c r="E223" s="265">
        <f t="shared" ca="1" si="18"/>
        <v>0.99720379718117991</v>
      </c>
      <c r="F223" s="251">
        <f t="shared" ca="1" si="19"/>
        <v>-0.90096886790231945</v>
      </c>
      <c r="G223" s="252">
        <f t="shared" ca="1" si="20"/>
        <v>0.81457595205052635</v>
      </c>
      <c r="H223" s="246"/>
      <c r="I223" s="246"/>
      <c r="J223" s="246"/>
      <c r="K223" s="246"/>
      <c r="L223" s="246"/>
      <c r="M223" s="246"/>
      <c r="N223" s="246"/>
      <c r="O223" s="246"/>
      <c r="P223" s="282"/>
      <c r="Q223" s="283"/>
      <c r="R223" s="291"/>
      <c r="S223" s="297" t="str">
        <f t="shared" ca="1" si="21"/>
        <v xml:space="preserve"> </v>
      </c>
    </row>
    <row r="224" spans="1:19">
      <c r="A224" s="533"/>
      <c r="B224" s="268">
        <v>11</v>
      </c>
      <c r="C224" s="248">
        <f t="shared" si="22"/>
        <v>222</v>
      </c>
      <c r="D224" s="249">
        <f t="shared" ca="1" si="23"/>
        <v>27264</v>
      </c>
      <c r="E224" s="265">
        <f t="shared" ca="1" si="18"/>
        <v>0.97492791218189434</v>
      </c>
      <c r="F224" s="251">
        <f t="shared" ca="1" si="19"/>
        <v>-0.97492791218171992</v>
      </c>
      <c r="G224" s="252">
        <f t="shared" ca="1" si="20"/>
        <v>0.90963199535453731</v>
      </c>
      <c r="H224" s="246"/>
      <c r="I224" s="246"/>
      <c r="J224" s="246"/>
      <c r="K224" s="246"/>
      <c r="L224" s="246"/>
      <c r="M224" s="246"/>
      <c r="N224" s="246"/>
      <c r="O224" s="246"/>
      <c r="P224" s="282"/>
      <c r="Q224" s="283"/>
      <c r="R224" s="291"/>
      <c r="S224" s="297" t="str">
        <f t="shared" ca="1" si="21"/>
        <v xml:space="preserve"> </v>
      </c>
    </row>
    <row r="225" spans="1:19">
      <c r="A225" s="533"/>
      <c r="B225" s="268">
        <v>12</v>
      </c>
      <c r="C225" s="248">
        <f t="shared" si="22"/>
        <v>223</v>
      </c>
      <c r="D225" s="249">
        <f t="shared" ca="1" si="23"/>
        <v>27265</v>
      </c>
      <c r="E225" s="265">
        <f t="shared" ca="1" si="18"/>
        <v>0.86602540378475523</v>
      </c>
      <c r="F225" s="251">
        <f t="shared" ca="1" si="19"/>
        <v>-1</v>
      </c>
      <c r="G225" s="252">
        <f t="shared" ca="1" si="20"/>
        <v>0.9718115683234857</v>
      </c>
      <c r="H225" s="246"/>
      <c r="I225" s="246"/>
      <c r="J225" s="246"/>
      <c r="K225" s="246"/>
      <c r="L225" s="246"/>
      <c r="M225" s="246"/>
      <c r="N225" s="246"/>
      <c r="O225" s="246"/>
      <c r="P225" s="282"/>
      <c r="Q225" s="283"/>
      <c r="R225" s="291"/>
      <c r="S225" s="297" t="str">
        <f t="shared" ca="1" si="21"/>
        <v xml:space="preserve"> </v>
      </c>
    </row>
    <row r="226" spans="1:19">
      <c r="A226" s="533"/>
      <c r="B226" s="268">
        <v>13</v>
      </c>
      <c r="C226" s="248">
        <f t="shared" si="22"/>
        <v>224</v>
      </c>
      <c r="D226" s="249">
        <f t="shared" ca="1" si="23"/>
        <v>27266</v>
      </c>
      <c r="E226" s="265">
        <f t="shared" ca="1" si="18"/>
        <v>0.68017273777094778</v>
      </c>
      <c r="F226" s="251">
        <f t="shared" ca="1" si="19"/>
        <v>-0.97492791218183006</v>
      </c>
      <c r="G226" s="252">
        <f t="shared" ca="1" si="20"/>
        <v>0.9988673391830265</v>
      </c>
      <c r="H226" s="246"/>
      <c r="I226" s="246"/>
      <c r="J226" s="246"/>
      <c r="K226" s="246"/>
      <c r="L226" s="246"/>
      <c r="M226" s="246"/>
      <c r="N226" s="246"/>
      <c r="O226" s="246"/>
      <c r="P226" s="282"/>
      <c r="Q226" s="283"/>
      <c r="R226" s="291"/>
      <c r="S226" s="297" t="str">
        <f t="shared" ca="1" si="21"/>
        <v xml:space="preserve"> </v>
      </c>
    </row>
    <row r="227" spans="1:19">
      <c r="A227" s="533"/>
      <c r="B227" s="268">
        <v>14</v>
      </c>
      <c r="C227" s="248">
        <f t="shared" si="22"/>
        <v>225</v>
      </c>
      <c r="D227" s="249">
        <f t="shared" ca="1" si="23"/>
        <v>27267</v>
      </c>
      <c r="E227" s="265">
        <f t="shared" ca="1" si="18"/>
        <v>0.43388373911787675</v>
      </c>
      <c r="F227" s="251">
        <f t="shared" ca="1" si="19"/>
        <v>-0.90096886790253417</v>
      </c>
      <c r="G227" s="252">
        <f t="shared" ca="1" si="20"/>
        <v>0.9898214418809177</v>
      </c>
      <c r="H227" s="246"/>
      <c r="I227" s="246"/>
      <c r="J227" s="246"/>
      <c r="K227" s="246"/>
      <c r="L227" s="246"/>
      <c r="M227" s="246"/>
      <c r="N227" s="246"/>
      <c r="O227" s="246"/>
      <c r="P227" s="282"/>
      <c r="Q227" s="283"/>
      <c r="R227" s="291"/>
      <c r="S227" s="297" t="str">
        <f t="shared" ca="1" si="21"/>
        <v xml:space="preserve"> </v>
      </c>
    </row>
    <row r="228" spans="1:19">
      <c r="A228" s="533"/>
      <c r="B228" s="268">
        <v>15</v>
      </c>
      <c r="C228" s="248">
        <f t="shared" si="22"/>
        <v>226</v>
      </c>
      <c r="D228" s="249">
        <f t="shared" ca="1" si="23"/>
        <v>27268</v>
      </c>
      <c r="E228" s="265">
        <f t="shared" ca="1" si="18"/>
        <v>0.14904226617683569</v>
      </c>
      <c r="F228" s="251">
        <f t="shared" ca="1" si="19"/>
        <v>-0.78183148246834255</v>
      </c>
      <c r="G228" s="252">
        <f t="shared" ca="1" si="20"/>
        <v>0.94500081871472652</v>
      </c>
      <c r="H228" s="246"/>
      <c r="I228" s="246"/>
      <c r="J228" s="246"/>
      <c r="K228" s="246"/>
      <c r="L228" s="246"/>
      <c r="M228" s="246"/>
      <c r="N228" s="246"/>
      <c r="O228" s="246"/>
      <c r="P228" s="282"/>
      <c r="Q228" s="283"/>
      <c r="R228" s="291"/>
      <c r="S228" s="297" t="str">
        <f t="shared" ca="1" si="21"/>
        <v xml:space="preserve"> </v>
      </c>
    </row>
    <row r="229" spans="1:19">
      <c r="A229" s="533"/>
      <c r="B229" s="268">
        <v>16</v>
      </c>
      <c r="C229" s="248">
        <f t="shared" si="22"/>
        <v>227</v>
      </c>
      <c r="D229" s="249">
        <f t="shared" ca="1" si="23"/>
        <v>27269</v>
      </c>
      <c r="E229" s="265">
        <f t="shared" ca="1" si="18"/>
        <v>-0.14904226617610106</v>
      </c>
      <c r="F229" s="251">
        <f t="shared" ca="1" si="19"/>
        <v>-0.62348980185859926</v>
      </c>
      <c r="G229" s="252">
        <f t="shared" ca="1" si="20"/>
        <v>0.86602540378421422</v>
      </c>
      <c r="H229" s="246"/>
      <c r="I229" s="246"/>
      <c r="J229" s="246"/>
      <c r="K229" s="246"/>
      <c r="L229" s="246"/>
      <c r="M229" s="246"/>
      <c r="N229" s="246"/>
      <c r="O229" s="246"/>
      <c r="P229" s="282"/>
      <c r="Q229" s="283"/>
      <c r="R229" s="291"/>
      <c r="S229" s="297" t="str">
        <f t="shared" ca="1" si="21"/>
        <v xml:space="preserve"> </v>
      </c>
    </row>
    <row r="230" spans="1:19">
      <c r="A230" s="533"/>
      <c r="B230" s="268">
        <v>17</v>
      </c>
      <c r="C230" s="248">
        <f t="shared" si="22"/>
        <v>228</v>
      </c>
      <c r="D230" s="249">
        <f t="shared" ca="1" si="23"/>
        <v>27270</v>
      </c>
      <c r="E230" s="265">
        <f t="shared" ca="1" si="18"/>
        <v>-0.4338837391172074</v>
      </c>
      <c r="F230" s="251">
        <f t="shared" ca="1" si="19"/>
        <v>-0.4338837391176163</v>
      </c>
      <c r="G230" s="252">
        <f t="shared" ca="1" si="20"/>
        <v>0.7557495743541498</v>
      </c>
      <c r="H230" s="246"/>
      <c r="I230" s="246"/>
      <c r="J230" s="246"/>
      <c r="K230" s="246"/>
      <c r="L230" s="246"/>
      <c r="M230" s="246"/>
      <c r="N230" s="246"/>
      <c r="O230" s="246"/>
      <c r="P230" s="282"/>
      <c r="Q230" s="283"/>
      <c r="R230" s="291"/>
      <c r="S230" s="297" t="str">
        <f t="shared" ca="1" si="21"/>
        <v xml:space="preserve"> </v>
      </c>
    </row>
    <row r="231" spans="1:19">
      <c r="A231" s="533"/>
      <c r="B231" s="268">
        <v>18</v>
      </c>
      <c r="C231" s="248">
        <f t="shared" si="22"/>
        <v>229</v>
      </c>
      <c r="D231" s="249">
        <f t="shared" ca="1" si="23"/>
        <v>27271</v>
      </c>
      <c r="E231" s="265">
        <f t="shared" ca="1" si="18"/>
        <v>-0.6801727377704031</v>
      </c>
      <c r="F231" s="251">
        <f t="shared" ca="1" si="19"/>
        <v>-0.22252093395660769</v>
      </c>
      <c r="G231" s="252">
        <f t="shared" ca="1" si="20"/>
        <v>0.61815898622141241</v>
      </c>
      <c r="H231" s="246"/>
      <c r="I231" s="246"/>
      <c r="J231" s="246"/>
      <c r="K231" s="246"/>
      <c r="L231" s="246"/>
      <c r="M231" s="246"/>
      <c r="N231" s="246"/>
      <c r="O231" s="246"/>
      <c r="P231" s="282"/>
      <c r="Q231" s="283"/>
      <c r="R231" s="291"/>
      <c r="S231" s="297" t="str">
        <f t="shared" ca="1" si="21"/>
        <v xml:space="preserve"> </v>
      </c>
    </row>
    <row r="232" spans="1:19">
      <c r="A232" s="533"/>
      <c r="B232" s="268">
        <v>19</v>
      </c>
      <c r="C232" s="248">
        <f t="shared" si="22"/>
        <v>230</v>
      </c>
      <c r="D232" s="249">
        <f t="shared" ca="1" si="23"/>
        <v>27272</v>
      </c>
      <c r="E232" s="265">
        <f t="shared" ca="1" si="18"/>
        <v>-0.86602540378438375</v>
      </c>
      <c r="F232" s="251">
        <f t="shared" ca="1" si="19"/>
        <v>3.7240783373748698E-13</v>
      </c>
      <c r="G232" s="252">
        <f t="shared" ca="1" si="20"/>
        <v>0.45822652172776646</v>
      </c>
      <c r="H232" s="246"/>
      <c r="I232" s="246"/>
      <c r="J232" s="246"/>
      <c r="K232" s="246"/>
      <c r="L232" s="246"/>
      <c r="M232" s="246"/>
      <c r="N232" s="246"/>
      <c r="O232" s="246"/>
      <c r="P232" s="282"/>
      <c r="Q232" s="283"/>
      <c r="R232" s="291"/>
      <c r="S232" s="297" t="str">
        <f t="shared" ca="1" si="21"/>
        <v xml:space="preserve"> </v>
      </c>
    </row>
    <row r="233" spans="1:19">
      <c r="A233" s="533"/>
      <c r="B233" s="268">
        <v>20</v>
      </c>
      <c r="C233" s="248">
        <f t="shared" si="22"/>
        <v>231</v>
      </c>
      <c r="D233" s="249">
        <f t="shared" ca="1" si="23"/>
        <v>27273</v>
      </c>
      <c r="E233" s="265">
        <f t="shared" ca="1" si="18"/>
        <v>-0.97492791218172903</v>
      </c>
      <c r="F233" s="251">
        <f t="shared" ca="1" si="19"/>
        <v>0.22252093395556044</v>
      </c>
      <c r="G233" s="252">
        <f t="shared" ca="1" si="20"/>
        <v>0.28173255684208576</v>
      </c>
      <c r="H233" s="246"/>
      <c r="I233" s="246"/>
      <c r="J233" s="246"/>
      <c r="K233" s="246"/>
      <c r="L233" s="246"/>
      <c r="M233" s="246"/>
      <c r="N233" s="246"/>
      <c r="O233" s="246"/>
      <c r="P233" s="282"/>
      <c r="Q233" s="283"/>
      <c r="R233" s="291"/>
      <c r="S233" s="297" t="str">
        <f t="shared" ca="1" si="21"/>
        <v xml:space="preserve"> </v>
      </c>
    </row>
    <row r="234" spans="1:19">
      <c r="A234" s="533"/>
      <c r="B234" s="268">
        <v>21</v>
      </c>
      <c r="C234" s="248">
        <f t="shared" si="22"/>
        <v>232</v>
      </c>
      <c r="D234" s="249">
        <f t="shared" ca="1" si="23"/>
        <v>27274</v>
      </c>
      <c r="E234" s="265">
        <f t="shared" ca="1" si="18"/>
        <v>-0.99720379718123542</v>
      </c>
      <c r="F234" s="251">
        <f t="shared" ca="1" si="19"/>
        <v>0.43388373911664851</v>
      </c>
      <c r="G234" s="252">
        <f t="shared" ca="1" si="20"/>
        <v>9.5056043305145166E-2</v>
      </c>
      <c r="H234" s="246"/>
      <c r="I234" s="246"/>
      <c r="J234" s="246"/>
      <c r="K234" s="246"/>
      <c r="L234" s="246"/>
      <c r="M234" s="246"/>
      <c r="N234" s="246"/>
      <c r="O234" s="246"/>
      <c r="P234" s="282"/>
      <c r="Q234" s="283"/>
      <c r="R234" s="291"/>
      <c r="S234" s="297" t="str">
        <f t="shared" ca="1" si="21"/>
        <v xml:space="preserve"> </v>
      </c>
    </row>
    <row r="235" spans="1:19">
      <c r="A235" s="533"/>
      <c r="B235" s="268">
        <v>22</v>
      </c>
      <c r="C235" s="248">
        <f t="shared" si="22"/>
        <v>233</v>
      </c>
      <c r="D235" s="249">
        <f t="shared" ca="1" si="23"/>
        <v>27275</v>
      </c>
      <c r="E235" s="265">
        <f t="shared" ca="1" si="18"/>
        <v>-0.93087374864425732</v>
      </c>
      <c r="F235" s="251">
        <f t="shared" ca="1" si="19"/>
        <v>0.62348980185847058</v>
      </c>
      <c r="G235" s="252">
        <f t="shared" ca="1" si="20"/>
        <v>-9.5056043303843665E-2</v>
      </c>
      <c r="H235" s="246"/>
      <c r="I235" s="246"/>
      <c r="J235" s="246"/>
      <c r="K235" s="246"/>
      <c r="L235" s="246"/>
      <c r="M235" s="246"/>
      <c r="N235" s="246"/>
      <c r="O235" s="246"/>
      <c r="P235" s="282"/>
      <c r="Q235" s="283"/>
      <c r="R235" s="291"/>
      <c r="S235" s="297" t="str">
        <f t="shared" ca="1" si="21"/>
        <v xml:space="preserve"> </v>
      </c>
    </row>
    <row r="236" spans="1:19">
      <c r="A236" s="533"/>
      <c r="B236" s="268">
        <v>23</v>
      </c>
      <c r="C236" s="248">
        <f t="shared" si="22"/>
        <v>234</v>
      </c>
      <c r="D236" s="249">
        <f t="shared" ca="1" si="23"/>
        <v>27276</v>
      </c>
      <c r="E236" s="265">
        <f t="shared" ca="1" si="18"/>
        <v>-0.7818314824683168</v>
      </c>
      <c r="F236" s="251">
        <f t="shared" ca="1" si="19"/>
        <v>0.78183148246767276</v>
      </c>
      <c r="G236" s="252">
        <f t="shared" ca="1" si="20"/>
        <v>-0.28173255684083126</v>
      </c>
      <c r="H236" s="246"/>
      <c r="I236" s="246"/>
      <c r="J236" s="246"/>
      <c r="K236" s="246"/>
      <c r="L236" s="246"/>
      <c r="M236" s="246"/>
      <c r="N236" s="246"/>
      <c r="O236" s="246"/>
      <c r="P236" s="282"/>
      <c r="Q236" s="283"/>
      <c r="R236" s="291"/>
      <c r="S236" s="297" t="str">
        <f t="shared" ca="1" si="21"/>
        <v xml:space="preserve"> </v>
      </c>
    </row>
    <row r="237" spans="1:19">
      <c r="A237" s="533"/>
      <c r="B237" s="268">
        <v>24</v>
      </c>
      <c r="C237" s="248">
        <f t="shared" si="22"/>
        <v>235</v>
      </c>
      <c r="D237" s="249">
        <f t="shared" ca="1" si="23"/>
        <v>27277</v>
      </c>
      <c r="E237" s="265">
        <f t="shared" ca="1" si="18"/>
        <v>-0.56332005806351126</v>
      </c>
      <c r="F237" s="251">
        <f t="shared" ca="1" si="19"/>
        <v>0.90096886790246278</v>
      </c>
      <c r="G237" s="252">
        <f t="shared" ca="1" si="20"/>
        <v>-0.45822652172741274</v>
      </c>
      <c r="H237" s="246"/>
      <c r="I237" s="246"/>
      <c r="J237" s="246"/>
      <c r="K237" s="246"/>
      <c r="L237" s="246"/>
      <c r="M237" s="246"/>
      <c r="N237" s="246"/>
      <c r="O237" s="246"/>
      <c r="P237" s="282"/>
      <c r="Q237" s="283"/>
      <c r="R237" s="291"/>
      <c r="S237" s="297" t="str">
        <f t="shared" ca="1" si="21"/>
        <v xml:space="preserve"> </v>
      </c>
    </row>
    <row r="238" spans="1:19">
      <c r="A238" s="533"/>
      <c r="B238" s="268">
        <v>25</v>
      </c>
      <c r="C238" s="248">
        <f t="shared" si="22"/>
        <v>236</v>
      </c>
      <c r="D238" s="249">
        <f t="shared" ca="1" si="23"/>
        <v>27278</v>
      </c>
      <c r="E238" s="265">
        <f t="shared" ca="1" si="18"/>
        <v>-0.29475517441107707</v>
      </c>
      <c r="F238" s="251">
        <f t="shared" ca="1" si="19"/>
        <v>0.97492791218179342</v>
      </c>
      <c r="G238" s="252">
        <f t="shared" ca="1" si="20"/>
        <v>-0.61815898622038479</v>
      </c>
      <c r="H238" s="246"/>
      <c r="I238" s="246"/>
      <c r="J238" s="246"/>
      <c r="K238" s="246"/>
      <c r="L238" s="246"/>
      <c r="M238" s="246"/>
      <c r="N238" s="246"/>
      <c r="O238" s="246"/>
      <c r="P238" s="282"/>
      <c r="Q238" s="283"/>
      <c r="R238" s="291"/>
      <c r="S238" s="297" t="str">
        <f t="shared" ca="1" si="21"/>
        <v xml:space="preserve"> </v>
      </c>
    </row>
    <row r="239" spans="1:19">
      <c r="A239" s="533"/>
      <c r="B239" s="268">
        <v>26</v>
      </c>
      <c r="C239" s="248">
        <f t="shared" si="22"/>
        <v>237</v>
      </c>
      <c r="D239" s="249">
        <f t="shared" ca="1" si="23"/>
        <v>27279</v>
      </c>
      <c r="E239" s="265">
        <f t="shared" ca="1" si="18"/>
        <v>-4.9592925252528453E-13</v>
      </c>
      <c r="F239" s="251">
        <f t="shared" ca="1" si="19"/>
        <v>1</v>
      </c>
      <c r="G239" s="252">
        <f t="shared" ca="1" si="20"/>
        <v>-0.75574957435388923</v>
      </c>
      <c r="H239" s="246"/>
      <c r="I239" s="246"/>
      <c r="J239" s="246"/>
      <c r="K239" s="246"/>
      <c r="L239" s="246"/>
      <c r="M239" s="246"/>
      <c r="N239" s="246"/>
      <c r="O239" s="246"/>
      <c r="P239" s="282"/>
      <c r="Q239" s="283"/>
      <c r="R239" s="291"/>
      <c r="S239" s="297" t="str">
        <f t="shared" ca="1" si="21"/>
        <v xml:space="preserve"> </v>
      </c>
    </row>
    <row r="240" spans="1:19">
      <c r="A240" s="533"/>
      <c r="B240" s="268">
        <v>27</v>
      </c>
      <c r="C240" s="248">
        <f t="shared" si="22"/>
        <v>238</v>
      </c>
      <c r="D240" s="249">
        <f t="shared" ca="1" si="23"/>
        <v>27280</v>
      </c>
      <c r="E240" s="265">
        <f t="shared" ca="1" si="18"/>
        <v>0.29475517441099841</v>
      </c>
      <c r="F240" s="251">
        <f t="shared" ca="1" si="19"/>
        <v>0.97492791218175656</v>
      </c>
      <c r="G240" s="252">
        <f t="shared" ca="1" si="20"/>
        <v>-0.86602540378447002</v>
      </c>
      <c r="H240" s="246"/>
      <c r="I240" s="246"/>
      <c r="J240" s="246"/>
      <c r="K240" s="246"/>
      <c r="L240" s="246"/>
      <c r="M240" s="246"/>
      <c r="N240" s="246"/>
      <c r="O240" s="246"/>
      <c r="P240" s="282"/>
      <c r="Q240" s="283"/>
      <c r="R240" s="291"/>
      <c r="S240" s="297" t="str">
        <f t="shared" ca="1" si="21"/>
        <v xml:space="preserve"> </v>
      </c>
    </row>
    <row r="241" spans="1:19">
      <c r="A241" s="533"/>
      <c r="B241" s="268">
        <v>28</v>
      </c>
      <c r="C241" s="248">
        <f t="shared" si="22"/>
        <v>239</v>
      </c>
      <c r="D241" s="249">
        <f t="shared" ca="1" si="23"/>
        <v>27281</v>
      </c>
      <c r="E241" s="265">
        <f t="shared" ca="1" si="18"/>
        <v>0.56332005806344321</v>
      </c>
      <c r="F241" s="251">
        <f t="shared" ca="1" si="19"/>
        <v>0.90096886790239095</v>
      </c>
      <c r="G241" s="252">
        <f t="shared" ca="1" si="20"/>
        <v>-0.9450008187145964</v>
      </c>
      <c r="H241" s="246"/>
      <c r="I241" s="246"/>
      <c r="J241" s="246"/>
      <c r="K241" s="246"/>
      <c r="L241" s="246"/>
      <c r="M241" s="246"/>
      <c r="N241" s="246"/>
      <c r="O241" s="246"/>
      <c r="P241" s="282"/>
      <c r="Q241" s="283"/>
      <c r="R241" s="291"/>
      <c r="S241" s="297" t="str">
        <f t="shared" ca="1" si="21"/>
        <v xml:space="preserve"> </v>
      </c>
    </row>
    <row r="242" spans="1:19">
      <c r="A242" s="533"/>
      <c r="B242" s="268">
        <v>29</v>
      </c>
      <c r="C242" s="248">
        <f t="shared" si="22"/>
        <v>240</v>
      </c>
      <c r="D242" s="249">
        <f t="shared" ca="1" si="23"/>
        <v>27282</v>
      </c>
      <c r="E242" s="265">
        <f t="shared" ca="1" si="18"/>
        <v>0.7818314824676984</v>
      </c>
      <c r="F242" s="251">
        <f t="shared" ca="1" si="19"/>
        <v>0.78183148246813661</v>
      </c>
      <c r="G242" s="252">
        <f t="shared" ca="1" si="20"/>
        <v>-0.98982144188086107</v>
      </c>
      <c r="H242" s="246"/>
      <c r="I242" s="246"/>
      <c r="J242" s="246"/>
      <c r="K242" s="246"/>
      <c r="L242" s="246"/>
      <c r="M242" s="246"/>
      <c r="N242" s="246"/>
      <c r="O242" s="246"/>
      <c r="P242" s="282"/>
      <c r="Q242" s="283"/>
      <c r="R242" s="291"/>
      <c r="S242" s="297" t="str">
        <f t="shared" ca="1" si="21"/>
        <v xml:space="preserve"> </v>
      </c>
    </row>
    <row r="243" spans="1:19">
      <c r="A243" s="533"/>
      <c r="B243" s="268">
        <v>30</v>
      </c>
      <c r="C243" s="248">
        <f t="shared" si="22"/>
        <v>241</v>
      </c>
      <c r="D243" s="249">
        <f t="shared" ca="1" si="23"/>
        <v>27283</v>
      </c>
      <c r="E243" s="265">
        <f t="shared" ca="1" si="18"/>
        <v>0.93087374864422723</v>
      </c>
      <c r="F243" s="251">
        <f t="shared" ca="1" si="19"/>
        <v>0.62348980185834102</v>
      </c>
      <c r="G243" s="252">
        <f t="shared" ca="1" si="20"/>
        <v>-0.99886733918300219</v>
      </c>
      <c r="H243" s="246"/>
      <c r="I243" s="246"/>
      <c r="J243" s="246"/>
      <c r="K243" s="246"/>
      <c r="L243" s="246"/>
      <c r="M243" s="246"/>
      <c r="N243" s="246"/>
      <c r="O243" s="246"/>
      <c r="P243" s="282"/>
      <c r="Q243" s="283"/>
      <c r="R243" s="291"/>
      <c r="S243" s="297" t="str">
        <f t="shared" ca="1" si="21"/>
        <v xml:space="preserve"> </v>
      </c>
    </row>
    <row r="244" spans="1:19" ht="13.5" thickBot="1">
      <c r="A244" s="534"/>
      <c r="B244" s="269">
        <v>31</v>
      </c>
      <c r="C244" s="254">
        <f t="shared" si="22"/>
        <v>242</v>
      </c>
      <c r="D244" s="255">
        <f t="shared" ca="1" si="23"/>
        <v>27284</v>
      </c>
      <c r="E244" s="266">
        <f t="shared" ca="1" si="18"/>
        <v>0.99720379718116137</v>
      </c>
      <c r="F244" s="257">
        <f t="shared" ca="1" si="19"/>
        <v>0.43388373911813816</v>
      </c>
      <c r="G244" s="258">
        <f t="shared" ca="1" si="20"/>
        <v>-0.97181156832357951</v>
      </c>
      <c r="H244" s="246"/>
      <c r="I244" s="246"/>
      <c r="J244" s="246"/>
      <c r="K244" s="246"/>
      <c r="L244" s="246"/>
      <c r="M244" s="246"/>
      <c r="N244" s="246"/>
      <c r="O244" s="246"/>
      <c r="P244" s="284"/>
      <c r="Q244" s="285"/>
      <c r="R244" s="292"/>
      <c r="S244" s="298" t="str">
        <f t="shared" ca="1" si="21"/>
        <v xml:space="preserve"> </v>
      </c>
    </row>
    <row r="245" spans="1:19">
      <c r="A245" s="532" t="s">
        <v>281</v>
      </c>
      <c r="B245" s="267">
        <v>1</v>
      </c>
      <c r="C245" s="260">
        <f t="shared" si="22"/>
        <v>243</v>
      </c>
      <c r="D245" s="261">
        <f t="shared" ca="1" si="23"/>
        <v>27285</v>
      </c>
      <c r="E245" s="262">
        <f t="shared" ca="1" si="18"/>
        <v>0.97492791218194974</v>
      </c>
      <c r="F245" s="263">
        <f t="shared" ca="1" si="19"/>
        <v>0.22252093395717237</v>
      </c>
      <c r="G245" s="264">
        <f t="shared" ca="1" si="20"/>
        <v>-0.90963199535470263</v>
      </c>
      <c r="H245" s="246"/>
      <c r="I245" s="246"/>
      <c r="J245" s="246"/>
      <c r="K245" s="246"/>
      <c r="L245" s="246"/>
      <c r="M245" s="246"/>
      <c r="N245" s="246"/>
      <c r="O245" s="246"/>
      <c r="P245" s="280"/>
      <c r="Q245" s="281"/>
      <c r="R245" s="290"/>
      <c r="S245" s="296" t="str">
        <f t="shared" ca="1" si="21"/>
        <v xml:space="preserve"> </v>
      </c>
    </row>
    <row r="246" spans="1:19">
      <c r="A246" s="533"/>
      <c r="B246" s="268">
        <v>2</v>
      </c>
      <c r="C246" s="248">
        <f t="shared" si="22"/>
        <v>244</v>
      </c>
      <c r="D246" s="249">
        <f t="shared" ca="1" si="23"/>
        <v>27286</v>
      </c>
      <c r="E246" s="265">
        <f t="shared" ca="1" si="18"/>
        <v>0.86602540378442494</v>
      </c>
      <c r="F246" s="251">
        <f t="shared" ca="1" si="19"/>
        <v>2.0680701075248553E-13</v>
      </c>
      <c r="G246" s="252">
        <f t="shared" ca="1" si="20"/>
        <v>-0.8145759520502297</v>
      </c>
      <c r="H246" s="246"/>
      <c r="I246" s="246"/>
      <c r="J246" s="246"/>
      <c r="K246" s="246"/>
      <c r="L246" s="246"/>
      <c r="M246" s="246"/>
      <c r="N246" s="246"/>
      <c r="O246" s="246"/>
      <c r="P246" s="282"/>
      <c r="Q246" s="283"/>
      <c r="R246" s="291"/>
      <c r="S246" s="297" t="str">
        <f t="shared" ca="1" si="21"/>
        <v xml:space="preserve"> </v>
      </c>
    </row>
    <row r="247" spans="1:19">
      <c r="A247" s="533"/>
      <c r="B247" s="268">
        <v>3</v>
      </c>
      <c r="C247" s="248">
        <f t="shared" si="22"/>
        <v>245</v>
      </c>
      <c r="D247" s="249">
        <f t="shared" ca="1" si="23"/>
        <v>27287</v>
      </c>
      <c r="E247" s="265">
        <f t="shared" ca="1" si="18"/>
        <v>0.68017273777113019</v>
      </c>
      <c r="F247" s="251">
        <f t="shared" ca="1" si="19"/>
        <v>-0.22252093395588243</v>
      </c>
      <c r="G247" s="252">
        <f t="shared" ca="1" si="20"/>
        <v>-0.69007901148218465</v>
      </c>
      <c r="H247" s="246"/>
      <c r="I247" s="246"/>
      <c r="J247" s="246"/>
      <c r="K247" s="246"/>
      <c r="L247" s="246"/>
      <c r="M247" s="246"/>
      <c r="N247" s="246"/>
      <c r="O247" s="246"/>
      <c r="P247" s="282"/>
      <c r="Q247" s="283"/>
      <c r="R247" s="291"/>
      <c r="S247" s="297" t="str">
        <f t="shared" ca="1" si="21"/>
        <v xml:space="preserve"> </v>
      </c>
    </row>
    <row r="248" spans="1:19">
      <c r="A248" s="533"/>
      <c r="B248" s="268">
        <v>4</v>
      </c>
      <c r="C248" s="248">
        <f t="shared" si="22"/>
        <v>246</v>
      </c>
      <c r="D248" s="249">
        <f t="shared" ca="1" si="23"/>
        <v>27288</v>
      </c>
      <c r="E248" s="265">
        <f t="shared" ca="1" si="18"/>
        <v>0.43388373911810107</v>
      </c>
      <c r="F248" s="251">
        <f t="shared" ca="1" si="19"/>
        <v>-0.43388373911694605</v>
      </c>
      <c r="G248" s="252">
        <f t="shared" ca="1" si="20"/>
        <v>-0.54064081745592019</v>
      </c>
      <c r="H248" s="246"/>
      <c r="I248" s="246"/>
      <c r="J248" s="246"/>
      <c r="K248" s="246"/>
      <c r="L248" s="246"/>
      <c r="M248" s="246"/>
      <c r="N248" s="246"/>
      <c r="O248" s="246"/>
      <c r="P248" s="282"/>
      <c r="Q248" s="283"/>
      <c r="R248" s="291"/>
      <c r="S248" s="297" t="str">
        <f t="shared" ca="1" si="21"/>
        <v xml:space="preserve"> </v>
      </c>
    </row>
    <row r="249" spans="1:19">
      <c r="A249" s="533"/>
      <c r="B249" s="268">
        <v>5</v>
      </c>
      <c r="C249" s="248">
        <f t="shared" si="22"/>
        <v>247</v>
      </c>
      <c r="D249" s="249">
        <f t="shared" ca="1" si="23"/>
        <v>27289</v>
      </c>
      <c r="E249" s="265">
        <f t="shared" ca="1" si="18"/>
        <v>0.14904226617618249</v>
      </c>
      <c r="F249" s="251">
        <f t="shared" ca="1" si="19"/>
        <v>-0.62348980185872871</v>
      </c>
      <c r="G249" s="252">
        <f t="shared" ca="1" si="20"/>
        <v>-0.37166245566010203</v>
      </c>
      <c r="H249" s="246"/>
      <c r="I249" s="246"/>
      <c r="J249" s="246"/>
      <c r="K249" s="246"/>
      <c r="L249" s="246"/>
      <c r="M249" s="246"/>
      <c r="N249" s="246"/>
      <c r="O249" s="246"/>
      <c r="P249" s="282"/>
      <c r="Q249" s="283"/>
      <c r="R249" s="291"/>
      <c r="S249" s="297" t="str">
        <f t="shared" ca="1" si="21"/>
        <v xml:space="preserve"> </v>
      </c>
    </row>
    <row r="250" spans="1:19">
      <c r="A250" s="533"/>
      <c r="B250" s="268">
        <v>6</v>
      </c>
      <c r="C250" s="248">
        <f t="shared" si="22"/>
        <v>248</v>
      </c>
      <c r="D250" s="249">
        <f t="shared" ca="1" si="23"/>
        <v>27290</v>
      </c>
      <c r="E250" s="265">
        <f t="shared" ca="1" si="18"/>
        <v>-0.14904226617585489</v>
      </c>
      <c r="F250" s="251">
        <f t="shared" ca="1" si="19"/>
        <v>-0.7818314824678787</v>
      </c>
      <c r="G250" s="252">
        <f t="shared" ca="1" si="20"/>
        <v>-0.18925124436044977</v>
      </c>
      <c r="H250" s="246"/>
      <c r="I250" s="246"/>
      <c r="J250" s="246"/>
      <c r="K250" s="246"/>
      <c r="L250" s="246"/>
      <c r="M250" s="246"/>
      <c r="N250" s="246"/>
      <c r="O250" s="246"/>
      <c r="P250" s="282"/>
      <c r="Q250" s="283"/>
      <c r="R250" s="291"/>
      <c r="S250" s="297" t="str">
        <f t="shared" ca="1" si="21"/>
        <v xml:space="preserve"> </v>
      </c>
    </row>
    <row r="251" spans="1:19">
      <c r="A251" s="533"/>
      <c r="B251" s="268">
        <v>7</v>
      </c>
      <c r="C251" s="248">
        <f t="shared" si="22"/>
        <v>249</v>
      </c>
      <c r="D251" s="249">
        <f t="shared" ca="1" si="23"/>
        <v>27291</v>
      </c>
      <c r="E251" s="265">
        <f t="shared" ca="1" si="18"/>
        <v>-0.43388373911698314</v>
      </c>
      <c r="F251" s="251">
        <f t="shared" ca="1" si="19"/>
        <v>-0.90096886790221142</v>
      </c>
      <c r="G251" s="252">
        <f t="shared" ca="1" si="20"/>
        <v>-3.2343181952110278E-13</v>
      </c>
      <c r="H251" s="246"/>
      <c r="I251" s="246"/>
      <c r="J251" s="246"/>
      <c r="K251" s="246"/>
      <c r="L251" s="246"/>
      <c r="M251" s="246"/>
      <c r="N251" s="246"/>
      <c r="O251" s="246"/>
      <c r="P251" s="282"/>
      <c r="Q251" s="283"/>
      <c r="R251" s="291"/>
      <c r="S251" s="297" t="str">
        <f t="shared" ca="1" si="21"/>
        <v xml:space="preserve"> </v>
      </c>
    </row>
    <row r="252" spans="1:19">
      <c r="A252" s="533"/>
      <c r="B252" s="268">
        <v>8</v>
      </c>
      <c r="C252" s="248">
        <f t="shared" si="22"/>
        <v>250</v>
      </c>
      <c r="D252" s="249">
        <f t="shared" ca="1" si="23"/>
        <v>27292</v>
      </c>
      <c r="E252" s="265">
        <f t="shared" ca="1" si="18"/>
        <v>-0.68017273777088738</v>
      </c>
      <c r="F252" s="251">
        <f t="shared" ca="1" si="19"/>
        <v>-0.97492791218186692</v>
      </c>
      <c r="G252" s="252">
        <f t="shared" ca="1" si="20"/>
        <v>0.18925124436070764</v>
      </c>
      <c r="H252" s="246"/>
      <c r="I252" s="246"/>
      <c r="J252" s="246"/>
      <c r="K252" s="246"/>
      <c r="L252" s="246"/>
      <c r="M252" s="246"/>
      <c r="N252" s="246"/>
      <c r="O252" s="246"/>
      <c r="P252" s="282"/>
      <c r="Q252" s="283"/>
      <c r="R252" s="291"/>
      <c r="S252" s="297" t="str">
        <f t="shared" ca="1" si="21"/>
        <v xml:space="preserve"> </v>
      </c>
    </row>
    <row r="253" spans="1:19">
      <c r="A253" s="533"/>
      <c r="B253" s="268">
        <v>9</v>
      </c>
      <c r="C253" s="248">
        <f t="shared" si="22"/>
        <v>251</v>
      </c>
      <c r="D253" s="249">
        <f t="shared" ca="1" si="23"/>
        <v>27293</v>
      </c>
      <c r="E253" s="265">
        <f t="shared" ca="1" si="18"/>
        <v>-0.8660254037842593</v>
      </c>
      <c r="F253" s="251">
        <f t="shared" ca="1" si="19"/>
        <v>-1</v>
      </c>
      <c r="G253" s="252">
        <f t="shared" ca="1" si="20"/>
        <v>0.37166245566034589</v>
      </c>
      <c r="H253" s="246"/>
      <c r="I253" s="246"/>
      <c r="J253" s="246"/>
      <c r="K253" s="246"/>
      <c r="L253" s="246"/>
      <c r="M253" s="246"/>
      <c r="N253" s="246"/>
      <c r="O253" s="246"/>
      <c r="P253" s="282"/>
      <c r="Q253" s="283"/>
      <c r="R253" s="291"/>
      <c r="S253" s="297" t="str">
        <f t="shared" ca="1" si="21"/>
        <v xml:space="preserve"> </v>
      </c>
    </row>
    <row r="254" spans="1:19">
      <c r="A254" s="533"/>
      <c r="B254" s="268">
        <v>10</v>
      </c>
      <c r="C254" s="248">
        <f t="shared" si="22"/>
        <v>252</v>
      </c>
      <c r="D254" s="249">
        <f t="shared" ca="1" si="23"/>
        <v>27294</v>
      </c>
      <c r="E254" s="265">
        <f t="shared" ca="1" si="18"/>
        <v>-0.97492791218187602</v>
      </c>
      <c r="F254" s="251">
        <f t="shared" ca="1" si="19"/>
        <v>-0.97492791218168307</v>
      </c>
      <c r="G254" s="252">
        <f t="shared" ca="1" si="20"/>
        <v>0.54064081745614112</v>
      </c>
      <c r="H254" s="246"/>
      <c r="I254" s="246"/>
      <c r="J254" s="246"/>
      <c r="K254" s="246"/>
      <c r="L254" s="246"/>
      <c r="M254" s="246"/>
      <c r="N254" s="246"/>
      <c r="O254" s="246"/>
      <c r="P254" s="282"/>
      <c r="Q254" s="283"/>
      <c r="R254" s="291"/>
      <c r="S254" s="297" t="str">
        <f t="shared" ca="1" si="21"/>
        <v xml:space="preserve"> </v>
      </c>
    </row>
    <row r="255" spans="1:19">
      <c r="A255" s="533"/>
      <c r="B255" s="268">
        <v>11</v>
      </c>
      <c r="C255" s="248">
        <f t="shared" si="22"/>
        <v>253</v>
      </c>
      <c r="D255" s="249">
        <f t="shared" ca="1" si="23"/>
        <v>27295</v>
      </c>
      <c r="E255" s="265">
        <f t="shared" ca="1" si="18"/>
        <v>-0.99720379718118612</v>
      </c>
      <c r="F255" s="251">
        <f t="shared" ca="1" si="19"/>
        <v>-0.90096886790264219</v>
      </c>
      <c r="G255" s="252">
        <f t="shared" ca="1" si="20"/>
        <v>0.69007901148171646</v>
      </c>
      <c r="H255" s="246"/>
      <c r="I255" s="246"/>
      <c r="J255" s="246"/>
      <c r="K255" s="246"/>
      <c r="L255" s="246"/>
      <c r="M255" s="246"/>
      <c r="N255" s="246"/>
      <c r="O255" s="246"/>
      <c r="P255" s="282"/>
      <c r="Q255" s="283"/>
      <c r="R255" s="291"/>
      <c r="S255" s="297" t="str">
        <f t="shared" ca="1" si="21"/>
        <v xml:space="preserve"> </v>
      </c>
    </row>
    <row r="256" spans="1:19">
      <c r="A256" s="533"/>
      <c r="B256" s="268">
        <v>12</v>
      </c>
      <c r="C256" s="248">
        <f t="shared" si="22"/>
        <v>254</v>
      </c>
      <c r="D256" s="249">
        <f t="shared" ca="1" si="23"/>
        <v>27296</v>
      </c>
      <c r="E256" s="265">
        <f t="shared" ca="1" si="18"/>
        <v>-0.93087374864434835</v>
      </c>
      <c r="F256" s="251">
        <f t="shared" ca="1" si="19"/>
        <v>-0.78183148246849776</v>
      </c>
      <c r="G256" s="252">
        <f t="shared" ca="1" si="20"/>
        <v>0.81457595204985445</v>
      </c>
      <c r="H256" s="246"/>
      <c r="I256" s="246"/>
      <c r="J256" s="246"/>
      <c r="K256" s="246"/>
      <c r="L256" s="246"/>
      <c r="M256" s="246"/>
      <c r="N256" s="246"/>
      <c r="O256" s="246"/>
      <c r="P256" s="282"/>
      <c r="Q256" s="283"/>
      <c r="R256" s="291"/>
      <c r="S256" s="297" t="str">
        <f t="shared" ca="1" si="21"/>
        <v xml:space="preserve"> </v>
      </c>
    </row>
    <row r="257" spans="1:19">
      <c r="A257" s="533"/>
      <c r="B257" s="268">
        <v>13</v>
      </c>
      <c r="C257" s="248">
        <f t="shared" si="22"/>
        <v>255</v>
      </c>
      <c r="D257" s="249">
        <f t="shared" ca="1" si="23"/>
        <v>27297</v>
      </c>
      <c r="E257" s="265">
        <f t="shared" ca="1" si="18"/>
        <v>-0.78183148246790501</v>
      </c>
      <c r="F257" s="251">
        <f t="shared" ca="1" si="19"/>
        <v>-0.62348980185879388</v>
      </c>
      <c r="G257" s="252">
        <f t="shared" ca="1" si="20"/>
        <v>0.90963199535443395</v>
      </c>
      <c r="H257" s="246"/>
      <c r="I257" s="246"/>
      <c r="J257" s="246"/>
      <c r="K257" s="246"/>
      <c r="L257" s="246"/>
      <c r="M257" s="246"/>
      <c r="N257" s="246"/>
      <c r="O257" s="246"/>
      <c r="P257" s="282"/>
      <c r="Q257" s="283"/>
      <c r="R257" s="291"/>
      <c r="S257" s="297" t="str">
        <f t="shared" ca="1" si="21"/>
        <v xml:space="preserve"> </v>
      </c>
    </row>
    <row r="258" spans="1:19">
      <c r="A258" s="533"/>
      <c r="B258" s="268">
        <v>14</v>
      </c>
      <c r="C258" s="248">
        <f t="shared" si="22"/>
        <v>256</v>
      </c>
      <c r="D258" s="249">
        <f t="shared" ca="1" si="23"/>
        <v>27298</v>
      </c>
      <c r="E258" s="265">
        <f t="shared" ca="1" si="18"/>
        <v>-0.56332005806371688</v>
      </c>
      <c r="F258" s="251">
        <f t="shared" ca="1" si="19"/>
        <v>-0.43388373911784056</v>
      </c>
      <c r="G258" s="252">
        <f t="shared" ca="1" si="20"/>
        <v>0.97181156832342697</v>
      </c>
      <c r="H258" s="246"/>
      <c r="I258" s="246"/>
      <c r="J258" s="246"/>
      <c r="K258" s="246"/>
      <c r="L258" s="246"/>
      <c r="M258" s="246"/>
      <c r="N258" s="246"/>
      <c r="O258" s="246"/>
      <c r="P258" s="282"/>
      <c r="Q258" s="283"/>
      <c r="R258" s="291"/>
      <c r="S258" s="297" t="str">
        <f t="shared" ca="1" si="21"/>
        <v xml:space="preserve"> </v>
      </c>
    </row>
    <row r="259" spans="1:19">
      <c r="A259" s="533"/>
      <c r="B259" s="268">
        <v>15</v>
      </c>
      <c r="C259" s="248">
        <f t="shared" si="22"/>
        <v>257</v>
      </c>
      <c r="D259" s="249">
        <f t="shared" ca="1" si="23"/>
        <v>27299</v>
      </c>
      <c r="E259" s="265">
        <f t="shared" ref="E259:E322" ca="1" si="24">SIN(2*PI()*$D259/21)</f>
        <v>-0.29475517441131499</v>
      </c>
      <c r="F259" s="251">
        <f t="shared" ref="F259:F322" ca="1" si="25">SIN(2*PI()*$D259/28)</f>
        <v>-0.22252093395685038</v>
      </c>
      <c r="G259" s="252">
        <f t="shared" ref="G259:G322" ca="1" si="26">SIN(2*PI()*$D259/33)</f>
        <v>0.99886733918297133</v>
      </c>
      <c r="H259" s="246"/>
      <c r="I259" s="246"/>
      <c r="J259" s="246"/>
      <c r="K259" s="246"/>
      <c r="L259" s="246"/>
      <c r="M259" s="246"/>
      <c r="N259" s="246"/>
      <c r="O259" s="246"/>
      <c r="P259" s="282"/>
      <c r="Q259" s="283"/>
      <c r="R259" s="291"/>
      <c r="S259" s="297" t="str">
        <f t="shared" ref="S259:S322" ca="1" si="27">IF(AND(E259&gt;0.6,F259&gt;0.6,G259&gt;0.6),"&lt;----OK",IF(AND(E259&lt;-0.6,F259&lt;-0.6,G259&lt;-0.6),"&lt;XXX&gt;"," "))</f>
        <v xml:space="preserve"> </v>
      </c>
    </row>
    <row r="260" spans="1:19">
      <c r="A260" s="533"/>
      <c r="B260" s="268">
        <v>16</v>
      </c>
      <c r="C260" s="248">
        <f t="shared" ref="C260:C323" si="28">+C259+1</f>
        <v>258</v>
      </c>
      <c r="D260" s="249">
        <f t="shared" ref="D260:D323" ca="1" si="29">+$D$2+C260</f>
        <v>27300</v>
      </c>
      <c r="E260" s="265">
        <f t="shared" ca="1" si="24"/>
        <v>1.6463046204062692E-13</v>
      </c>
      <c r="F260" s="251">
        <f t="shared" ca="1" si="25"/>
        <v>1.2347284653047019E-13</v>
      </c>
      <c r="G260" s="252">
        <f t="shared" ca="1" si="26"/>
        <v>0.98982144188095311</v>
      </c>
      <c r="H260" s="246"/>
      <c r="I260" s="246"/>
      <c r="J260" s="246"/>
      <c r="K260" s="246"/>
      <c r="L260" s="246"/>
      <c r="M260" s="246"/>
      <c r="N260" s="246"/>
      <c r="O260" s="246"/>
      <c r="P260" s="282"/>
      <c r="Q260" s="283"/>
      <c r="R260" s="291"/>
      <c r="S260" s="297" t="str">
        <f t="shared" ca="1" si="27"/>
        <v xml:space="preserve"> </v>
      </c>
    </row>
    <row r="261" spans="1:19">
      <c r="A261" s="533"/>
      <c r="B261" s="268">
        <v>17</v>
      </c>
      <c r="C261" s="248">
        <f t="shared" si="28"/>
        <v>259</v>
      </c>
      <c r="D261" s="249">
        <f t="shared" ca="1" si="29"/>
        <v>27301</v>
      </c>
      <c r="E261" s="265">
        <f t="shared" ca="1" si="24"/>
        <v>0.29475517441076049</v>
      </c>
      <c r="F261" s="251">
        <f t="shared" ca="1" si="25"/>
        <v>0.22252093395620445</v>
      </c>
      <c r="G261" s="252">
        <f t="shared" ca="1" si="26"/>
        <v>0.94500081871480801</v>
      </c>
      <c r="H261" s="246"/>
      <c r="I261" s="246"/>
      <c r="J261" s="246"/>
      <c r="K261" s="246"/>
      <c r="L261" s="246"/>
      <c r="M261" s="246"/>
      <c r="N261" s="246"/>
      <c r="O261" s="246"/>
      <c r="P261" s="282"/>
      <c r="Q261" s="283"/>
      <c r="R261" s="291"/>
      <c r="S261" s="297" t="str">
        <f t="shared" ca="1" si="27"/>
        <v xml:space="preserve"> </v>
      </c>
    </row>
    <row r="262" spans="1:19">
      <c r="A262" s="533"/>
      <c r="B262" s="268">
        <v>18</v>
      </c>
      <c r="C262" s="248">
        <f t="shared" si="28"/>
        <v>260</v>
      </c>
      <c r="D262" s="249">
        <f t="shared" ca="1" si="29"/>
        <v>27302</v>
      </c>
      <c r="E262" s="265">
        <f t="shared" ca="1" si="24"/>
        <v>0.56332005806323748</v>
      </c>
      <c r="F262" s="251">
        <f t="shared" ca="1" si="25"/>
        <v>0.43388373911724365</v>
      </c>
      <c r="G262" s="252">
        <f t="shared" ca="1" si="26"/>
        <v>0.86602540378479342</v>
      </c>
      <c r="H262" s="246"/>
      <c r="I262" s="246"/>
      <c r="J262" s="246"/>
      <c r="K262" s="246"/>
      <c r="L262" s="246"/>
      <c r="M262" s="246"/>
      <c r="N262" s="246"/>
      <c r="O262" s="246"/>
      <c r="P262" s="282"/>
      <c r="Q262" s="283"/>
      <c r="R262" s="291"/>
      <c r="S262" s="297" t="str">
        <f t="shared" ca="1" si="27"/>
        <v xml:space="preserve"> </v>
      </c>
    </row>
    <row r="263" spans="1:19">
      <c r="A263" s="533"/>
      <c r="B263" s="268">
        <v>19</v>
      </c>
      <c r="C263" s="248">
        <f t="shared" si="28"/>
        <v>261</v>
      </c>
      <c r="D263" s="249">
        <f t="shared" ca="1" si="29"/>
        <v>27303</v>
      </c>
      <c r="E263" s="265">
        <f t="shared" ca="1" si="24"/>
        <v>0.78183148246811029</v>
      </c>
      <c r="F263" s="251">
        <f t="shared" ca="1" si="25"/>
        <v>0.62348980185898695</v>
      </c>
      <c r="G263" s="252">
        <f t="shared" ca="1" si="26"/>
        <v>0.75574957435431278</v>
      </c>
      <c r="H263" s="246"/>
      <c r="I263" s="246"/>
      <c r="J263" s="246"/>
      <c r="K263" s="246"/>
      <c r="L263" s="246"/>
      <c r="M263" s="246"/>
      <c r="N263" s="246"/>
      <c r="O263" s="246"/>
      <c r="P263" s="282"/>
      <c r="Q263" s="283"/>
      <c r="R263" s="291"/>
      <c r="S263" s="297" t="str">
        <f t="shared" ca="1" si="27"/>
        <v>&lt;----OK</v>
      </c>
    </row>
    <row r="264" spans="1:19">
      <c r="A264" s="533"/>
      <c r="B264" s="268">
        <v>20</v>
      </c>
      <c r="C264" s="248">
        <f t="shared" si="28"/>
        <v>262</v>
      </c>
      <c r="D264" s="249">
        <f t="shared" ca="1" si="29"/>
        <v>27304</v>
      </c>
      <c r="E264" s="265">
        <f t="shared" ca="1" si="24"/>
        <v>0.9308737486441363</v>
      </c>
      <c r="F264" s="251">
        <f t="shared" ca="1" si="25"/>
        <v>0.78183148246808465</v>
      </c>
      <c r="G264" s="252">
        <f t="shared" ca="1" si="26"/>
        <v>0.61815898622089316</v>
      </c>
      <c r="H264" s="246"/>
      <c r="I264" s="246"/>
      <c r="J264" s="246"/>
      <c r="K264" s="246"/>
      <c r="L264" s="246"/>
      <c r="M264" s="246"/>
      <c r="N264" s="246"/>
      <c r="O264" s="246"/>
      <c r="P264" s="282"/>
      <c r="Q264" s="283"/>
      <c r="R264" s="291"/>
      <c r="S264" s="297" t="str">
        <f t="shared" ca="1" si="27"/>
        <v>&lt;----OK</v>
      </c>
    </row>
    <row r="265" spans="1:19">
      <c r="A265" s="533"/>
      <c r="B265" s="268">
        <v>21</v>
      </c>
      <c r="C265" s="248">
        <f t="shared" si="28"/>
        <v>263</v>
      </c>
      <c r="D265" s="249">
        <f t="shared" ca="1" si="29"/>
        <v>27305</v>
      </c>
      <c r="E265" s="265">
        <f t="shared" ca="1" si="24"/>
        <v>0.99720379718114271</v>
      </c>
      <c r="F265" s="251">
        <f t="shared" ca="1" si="25"/>
        <v>0.90096886790196018</v>
      </c>
      <c r="G265" s="252">
        <f t="shared" ca="1" si="26"/>
        <v>0.45822652172798772</v>
      </c>
      <c r="H265" s="246"/>
      <c r="I265" s="246"/>
      <c r="J265" s="246"/>
      <c r="K265" s="246"/>
      <c r="L265" s="246"/>
      <c r="M265" s="246"/>
      <c r="N265" s="246"/>
      <c r="O265" s="246"/>
      <c r="P265" s="282"/>
      <c r="Q265" s="283"/>
      <c r="R265" s="291"/>
      <c r="S265" s="297" t="str">
        <f t="shared" ca="1" si="27"/>
        <v xml:space="preserve"> </v>
      </c>
    </row>
    <row r="266" spans="1:19">
      <c r="A266" s="533"/>
      <c r="B266" s="268">
        <v>22</v>
      </c>
      <c r="C266" s="248">
        <f t="shared" si="28"/>
        <v>264</v>
      </c>
      <c r="D266" s="249">
        <f t="shared" ca="1" si="29"/>
        <v>27306</v>
      </c>
      <c r="E266" s="265">
        <f t="shared" ca="1" si="24"/>
        <v>0.97492791218180275</v>
      </c>
      <c r="F266" s="251">
        <f t="shared" ca="1" si="25"/>
        <v>0.97492791218173802</v>
      </c>
      <c r="G266" s="252">
        <f t="shared" ca="1" si="26"/>
        <v>0.28173255684145193</v>
      </c>
      <c r="H266" s="246"/>
      <c r="I266" s="246"/>
      <c r="J266" s="246"/>
      <c r="K266" s="246"/>
      <c r="L266" s="246"/>
      <c r="M266" s="246"/>
      <c r="N266" s="246"/>
      <c r="O266" s="246"/>
      <c r="P266" s="282"/>
      <c r="Q266" s="283"/>
      <c r="R266" s="291"/>
      <c r="S266" s="297" t="str">
        <f t="shared" ca="1" si="27"/>
        <v xml:space="preserve"> </v>
      </c>
    </row>
    <row r="267" spans="1:19">
      <c r="A267" s="533"/>
      <c r="B267" s="268">
        <v>23</v>
      </c>
      <c r="C267" s="248">
        <f t="shared" si="28"/>
        <v>265</v>
      </c>
      <c r="D267" s="249">
        <f t="shared" ca="1" si="29"/>
        <v>27307</v>
      </c>
      <c r="E267" s="265">
        <f t="shared" ca="1" si="24"/>
        <v>0.8660254037845494</v>
      </c>
      <c r="F267" s="251">
        <f t="shared" ca="1" si="25"/>
        <v>1</v>
      </c>
      <c r="G267" s="252">
        <f t="shared" ca="1" si="26"/>
        <v>9.5056043304487609E-2</v>
      </c>
      <c r="H267" s="246"/>
      <c r="I267" s="246"/>
      <c r="J267" s="246"/>
      <c r="K267" s="246"/>
      <c r="L267" s="246"/>
      <c r="M267" s="246"/>
      <c r="N267" s="246"/>
      <c r="O267" s="246"/>
      <c r="P267" s="282"/>
      <c r="Q267" s="283"/>
      <c r="R267" s="291"/>
      <c r="S267" s="297" t="str">
        <f t="shared" ca="1" si="27"/>
        <v xml:space="preserve"> </v>
      </c>
    </row>
    <row r="268" spans="1:19">
      <c r="A268" s="533"/>
      <c r="B268" s="268">
        <v>24</v>
      </c>
      <c r="C268" s="248">
        <f t="shared" si="28"/>
        <v>266</v>
      </c>
      <c r="D268" s="249">
        <f t="shared" ca="1" si="29"/>
        <v>27308</v>
      </c>
      <c r="E268" s="265">
        <f t="shared" ca="1" si="24"/>
        <v>0.68017273777131271</v>
      </c>
      <c r="F268" s="251">
        <f t="shared" ca="1" si="25"/>
        <v>0.97492791218201436</v>
      </c>
      <c r="G268" s="252">
        <f t="shared" ca="1" si="26"/>
        <v>-9.5056043303595864E-2</v>
      </c>
      <c r="H268" s="246"/>
      <c r="I268" s="246"/>
      <c r="J268" s="246"/>
      <c r="K268" s="246"/>
      <c r="L268" s="246"/>
      <c r="M268" s="246"/>
      <c r="N268" s="246"/>
      <c r="O268" s="246"/>
      <c r="P268" s="282"/>
      <c r="Q268" s="283"/>
      <c r="R268" s="291"/>
      <c r="S268" s="297" t="str">
        <f t="shared" ca="1" si="27"/>
        <v xml:space="preserve"> </v>
      </c>
    </row>
    <row r="269" spans="1:19">
      <c r="A269" s="533"/>
      <c r="B269" s="268">
        <v>25</v>
      </c>
      <c r="C269" s="248">
        <f t="shared" si="28"/>
        <v>267</v>
      </c>
      <c r="D269" s="249">
        <f t="shared" ca="1" si="29"/>
        <v>27309</v>
      </c>
      <c r="E269" s="265">
        <f t="shared" ca="1" si="24"/>
        <v>0.43388373911750594</v>
      </c>
      <c r="F269" s="251">
        <f t="shared" ca="1" si="25"/>
        <v>0.90096886790249897</v>
      </c>
      <c r="G269" s="252">
        <f t="shared" ca="1" si="26"/>
        <v>-0.28173255684146509</v>
      </c>
      <c r="H269" s="246"/>
      <c r="I269" s="246"/>
      <c r="J269" s="246"/>
      <c r="K269" s="246"/>
      <c r="L269" s="246"/>
      <c r="M269" s="246"/>
      <c r="N269" s="246"/>
      <c r="O269" s="246"/>
      <c r="P269" s="282"/>
      <c r="Q269" s="283"/>
      <c r="R269" s="291"/>
      <c r="S269" s="297" t="str">
        <f t="shared" ca="1" si="27"/>
        <v xml:space="preserve"> </v>
      </c>
    </row>
    <row r="270" spans="1:19">
      <c r="A270" s="533"/>
      <c r="B270" s="268">
        <v>26</v>
      </c>
      <c r="C270" s="248">
        <f t="shared" si="28"/>
        <v>268</v>
      </c>
      <c r="D270" s="249">
        <f t="shared" ca="1" si="29"/>
        <v>27310</v>
      </c>
      <c r="E270" s="265">
        <f t="shared" ca="1" si="24"/>
        <v>0.14904226617642866</v>
      </c>
      <c r="F270" s="251">
        <f t="shared" ca="1" si="25"/>
        <v>0.78183148246829182</v>
      </c>
      <c r="G270" s="252">
        <f t="shared" ca="1" si="26"/>
        <v>-0.45822652172719147</v>
      </c>
      <c r="H270" s="246"/>
      <c r="I270" s="246"/>
      <c r="J270" s="246"/>
      <c r="K270" s="246"/>
      <c r="L270" s="246"/>
      <c r="M270" s="246"/>
      <c r="N270" s="246"/>
      <c r="O270" s="246"/>
      <c r="P270" s="282"/>
      <c r="Q270" s="283"/>
      <c r="R270" s="291"/>
      <c r="S270" s="297" t="str">
        <f t="shared" ca="1" si="27"/>
        <v xml:space="preserve"> </v>
      </c>
    </row>
    <row r="271" spans="1:19">
      <c r="A271" s="533"/>
      <c r="B271" s="268">
        <v>27</v>
      </c>
      <c r="C271" s="248">
        <f t="shared" si="28"/>
        <v>269</v>
      </c>
      <c r="D271" s="249">
        <f t="shared" ca="1" si="29"/>
        <v>27311</v>
      </c>
      <c r="E271" s="265">
        <f t="shared" ca="1" si="24"/>
        <v>-0.14904226617650809</v>
      </c>
      <c r="F271" s="251">
        <f t="shared" ca="1" si="25"/>
        <v>0.62348980185853564</v>
      </c>
      <c r="G271" s="252">
        <f t="shared" ca="1" si="26"/>
        <v>-0.61815898622090393</v>
      </c>
      <c r="H271" s="246"/>
      <c r="I271" s="246"/>
      <c r="J271" s="246"/>
      <c r="K271" s="246"/>
      <c r="L271" s="246"/>
      <c r="M271" s="246"/>
      <c r="N271" s="246"/>
      <c r="O271" s="246"/>
      <c r="P271" s="282"/>
      <c r="Q271" s="283"/>
      <c r="R271" s="291"/>
      <c r="S271" s="297" t="str">
        <f t="shared" ca="1" si="27"/>
        <v xml:space="preserve"> </v>
      </c>
    </row>
    <row r="272" spans="1:19">
      <c r="A272" s="533"/>
      <c r="B272" s="268">
        <v>28</v>
      </c>
      <c r="C272" s="248">
        <f t="shared" si="28"/>
        <v>270</v>
      </c>
      <c r="D272" s="249">
        <f t="shared" ca="1" si="29"/>
        <v>27312</v>
      </c>
      <c r="E272" s="265">
        <f t="shared" ca="1" si="24"/>
        <v>-0.43388373911757827</v>
      </c>
      <c r="F272" s="251">
        <f t="shared" ca="1" si="25"/>
        <v>0.43388373911754302</v>
      </c>
      <c r="G272" s="252">
        <f t="shared" ca="1" si="26"/>
        <v>-0.75574957435432177</v>
      </c>
      <c r="H272" s="246"/>
      <c r="I272" s="246"/>
      <c r="J272" s="246"/>
      <c r="K272" s="246"/>
      <c r="L272" s="246"/>
      <c r="M272" s="246"/>
      <c r="N272" s="246"/>
      <c r="O272" s="246"/>
      <c r="P272" s="282"/>
      <c r="Q272" s="283"/>
      <c r="R272" s="291"/>
      <c r="S272" s="297" t="str">
        <f t="shared" ca="1" si="27"/>
        <v xml:space="preserve"> </v>
      </c>
    </row>
    <row r="273" spans="1:19">
      <c r="A273" s="533"/>
      <c r="B273" s="268">
        <v>29</v>
      </c>
      <c r="C273" s="248">
        <f t="shared" si="28"/>
        <v>271</v>
      </c>
      <c r="D273" s="249">
        <f t="shared" ca="1" si="29"/>
        <v>27313</v>
      </c>
      <c r="E273" s="265">
        <f t="shared" ca="1" si="24"/>
        <v>-0.68017273777070486</v>
      </c>
      <c r="F273" s="251">
        <f t="shared" ca="1" si="25"/>
        <v>0.22252093395652839</v>
      </c>
      <c r="G273" s="252">
        <f t="shared" ca="1" si="26"/>
        <v>-0.86602540378434556</v>
      </c>
      <c r="H273" s="246"/>
      <c r="I273" s="246"/>
      <c r="J273" s="246"/>
      <c r="K273" s="246"/>
      <c r="L273" s="246"/>
      <c r="M273" s="246"/>
      <c r="N273" s="246"/>
      <c r="O273" s="246"/>
      <c r="P273" s="282"/>
      <c r="Q273" s="283"/>
      <c r="R273" s="291"/>
      <c r="S273" s="297" t="str">
        <f t="shared" ca="1" si="27"/>
        <v xml:space="preserve"> </v>
      </c>
    </row>
    <row r="274" spans="1:19" ht="13.5" thickBot="1">
      <c r="A274" s="534"/>
      <c r="B274" s="269">
        <v>30</v>
      </c>
      <c r="C274" s="254">
        <f t="shared" si="28"/>
        <v>272</v>
      </c>
      <c r="D274" s="255">
        <f t="shared" ca="1" si="29"/>
        <v>27314</v>
      </c>
      <c r="E274" s="266">
        <f t="shared" ca="1" si="24"/>
        <v>-0.86602540378458959</v>
      </c>
      <c r="F274" s="257">
        <f t="shared" ca="1" si="25"/>
        <v>-4.5375270381342592E-13</v>
      </c>
      <c r="G274" s="258">
        <f t="shared" ca="1" si="26"/>
        <v>-0.94500081871481245</v>
      </c>
      <c r="H274" s="246"/>
      <c r="I274" s="246"/>
      <c r="J274" s="246"/>
      <c r="K274" s="246"/>
      <c r="L274" s="246"/>
      <c r="M274" s="246"/>
      <c r="N274" s="246"/>
      <c r="O274" s="246"/>
      <c r="P274" s="284"/>
      <c r="Q274" s="285"/>
      <c r="R274" s="292"/>
      <c r="S274" s="298" t="str">
        <f t="shared" ca="1" si="27"/>
        <v xml:space="preserve"> </v>
      </c>
    </row>
    <row r="275" spans="1:19">
      <c r="A275" s="532" t="s">
        <v>282</v>
      </c>
      <c r="B275" s="267">
        <v>1</v>
      </c>
      <c r="C275" s="260">
        <f t="shared" si="28"/>
        <v>273</v>
      </c>
      <c r="D275" s="261">
        <f t="shared" ca="1" si="29"/>
        <v>27315</v>
      </c>
      <c r="E275" s="262">
        <f t="shared" ca="1" si="24"/>
        <v>-0.97492791218182062</v>
      </c>
      <c r="F275" s="263">
        <f t="shared" ca="1" si="25"/>
        <v>-0.22252093395652645</v>
      </c>
      <c r="G275" s="264">
        <f t="shared" ca="1" si="26"/>
        <v>-0.98982144188095511</v>
      </c>
      <c r="H275" s="246"/>
      <c r="I275" s="246"/>
      <c r="J275" s="246"/>
      <c r="K275" s="246"/>
      <c r="L275" s="246"/>
      <c r="M275" s="246"/>
      <c r="N275" s="246"/>
      <c r="O275" s="246"/>
      <c r="P275" s="280"/>
      <c r="Q275" s="281"/>
      <c r="R275" s="290"/>
      <c r="S275" s="296" t="str">
        <f t="shared" ca="1" si="27"/>
        <v xml:space="preserve"> </v>
      </c>
    </row>
    <row r="276" spans="1:19">
      <c r="A276" s="533"/>
      <c r="B276" s="268">
        <v>2</v>
      </c>
      <c r="C276" s="248">
        <f t="shared" si="28"/>
        <v>274</v>
      </c>
      <c r="D276" s="249">
        <f t="shared" ca="1" si="29"/>
        <v>27316</v>
      </c>
      <c r="E276" s="265">
        <f t="shared" ca="1" si="24"/>
        <v>-0.99720379718120467</v>
      </c>
      <c r="F276" s="251">
        <f t="shared" ca="1" si="25"/>
        <v>-0.43388373911672179</v>
      </c>
      <c r="G276" s="252">
        <f t="shared" ca="1" si="26"/>
        <v>-0.99886733918301396</v>
      </c>
      <c r="H276" s="246"/>
      <c r="I276" s="246"/>
      <c r="J276" s="246"/>
      <c r="K276" s="246"/>
      <c r="L276" s="246"/>
      <c r="M276" s="246"/>
      <c r="N276" s="246"/>
      <c r="O276" s="246"/>
      <c r="P276" s="282"/>
      <c r="Q276" s="283"/>
      <c r="R276" s="291"/>
      <c r="S276" s="297" t="str">
        <f t="shared" ca="1" si="27"/>
        <v xml:space="preserve"> </v>
      </c>
    </row>
    <row r="277" spans="1:19">
      <c r="A277" s="533"/>
      <c r="B277" s="268">
        <v>3</v>
      </c>
      <c r="C277" s="248">
        <f t="shared" si="28"/>
        <v>275</v>
      </c>
      <c r="D277" s="249">
        <f t="shared" ca="1" si="29"/>
        <v>27317</v>
      </c>
      <c r="E277" s="265">
        <f t="shared" ca="1" si="24"/>
        <v>-0.93087374864410699</v>
      </c>
      <c r="F277" s="251">
        <f t="shared" ca="1" si="25"/>
        <v>-0.62348980185853409</v>
      </c>
      <c r="G277" s="252">
        <f t="shared" ca="1" si="26"/>
        <v>-0.97181156832342375</v>
      </c>
      <c r="H277" s="246"/>
      <c r="I277" s="246"/>
      <c r="J277" s="246"/>
      <c r="K277" s="246"/>
      <c r="L277" s="246"/>
      <c r="M277" s="246"/>
      <c r="N277" s="246"/>
      <c r="O277" s="246"/>
      <c r="P277" s="282"/>
      <c r="Q277" s="283"/>
      <c r="R277" s="291"/>
      <c r="S277" s="297" t="str">
        <f t="shared" ca="1" si="27"/>
        <v>&lt;XXX&gt;</v>
      </c>
    </row>
    <row r="278" spans="1:19">
      <c r="A278" s="533"/>
      <c r="B278" s="268">
        <v>4</v>
      </c>
      <c r="C278" s="248">
        <f t="shared" si="28"/>
        <v>276</v>
      </c>
      <c r="D278" s="249">
        <f t="shared" ca="1" si="29"/>
        <v>27318</v>
      </c>
      <c r="E278" s="265">
        <f t="shared" ca="1" si="24"/>
        <v>-0.78183148246806022</v>
      </c>
      <c r="F278" s="251">
        <f t="shared" ca="1" si="25"/>
        <v>-0.78183148246772349</v>
      </c>
      <c r="G278" s="252">
        <f t="shared" ca="1" si="26"/>
        <v>-0.90963199535442818</v>
      </c>
      <c r="H278" s="246"/>
      <c r="I278" s="246"/>
      <c r="J278" s="246"/>
      <c r="K278" s="246"/>
      <c r="L278" s="246"/>
      <c r="M278" s="246"/>
      <c r="N278" s="246"/>
      <c r="O278" s="246"/>
      <c r="P278" s="282"/>
      <c r="Q278" s="283"/>
      <c r="R278" s="291"/>
      <c r="S278" s="297" t="str">
        <f t="shared" ca="1" si="27"/>
        <v>&lt;XXX&gt;</v>
      </c>
    </row>
    <row r="279" spans="1:19">
      <c r="A279" s="533"/>
      <c r="B279" s="268">
        <v>5</v>
      </c>
      <c r="C279" s="248">
        <f t="shared" si="28"/>
        <v>277</v>
      </c>
      <c r="D279" s="249">
        <f t="shared" ca="1" si="29"/>
        <v>27319</v>
      </c>
      <c r="E279" s="265">
        <f t="shared" ca="1" si="24"/>
        <v>-0.5633200580639226</v>
      </c>
      <c r="F279" s="251">
        <f t="shared" ca="1" si="25"/>
        <v>-0.9009688679021034</v>
      </c>
      <c r="G279" s="252">
        <f t="shared" ca="1" si="26"/>
        <v>-0.81457595205037403</v>
      </c>
      <c r="H279" s="246"/>
      <c r="I279" s="246"/>
      <c r="J279" s="246"/>
      <c r="K279" s="246"/>
      <c r="L279" s="246"/>
      <c r="M279" s="246"/>
      <c r="N279" s="246"/>
      <c r="O279" s="246"/>
      <c r="P279" s="282"/>
      <c r="Q279" s="283"/>
      <c r="R279" s="291"/>
      <c r="S279" s="297" t="str">
        <f t="shared" ca="1" si="27"/>
        <v xml:space="preserve"> </v>
      </c>
    </row>
    <row r="280" spans="1:19">
      <c r="A280" s="533"/>
      <c r="B280" s="268">
        <v>6</v>
      </c>
      <c r="C280" s="248">
        <f t="shared" si="28"/>
        <v>278</v>
      </c>
      <c r="D280" s="249">
        <f t="shared" ca="1" si="29"/>
        <v>27320</v>
      </c>
      <c r="E280" s="265">
        <f t="shared" ca="1" si="24"/>
        <v>-0.29475517441068377</v>
      </c>
      <c r="F280" s="251">
        <f t="shared" ca="1" si="25"/>
        <v>-0.97492791218181152</v>
      </c>
      <c r="G280" s="252">
        <f t="shared" ca="1" si="26"/>
        <v>-0.69007901148236472</v>
      </c>
      <c r="H280" s="246"/>
      <c r="I280" s="246"/>
      <c r="J280" s="246"/>
      <c r="K280" s="246"/>
      <c r="L280" s="246"/>
      <c r="M280" s="246"/>
      <c r="N280" s="246"/>
      <c r="O280" s="246"/>
      <c r="P280" s="282"/>
      <c r="Q280" s="283"/>
      <c r="R280" s="291"/>
      <c r="S280" s="297" t="str">
        <f t="shared" ca="1" si="27"/>
        <v xml:space="preserve"> </v>
      </c>
    </row>
    <row r="281" spans="1:19">
      <c r="A281" s="533"/>
      <c r="B281" s="268">
        <v>7</v>
      </c>
      <c r="C281" s="248">
        <f t="shared" si="28"/>
        <v>279</v>
      </c>
      <c r="D281" s="249">
        <f t="shared" ca="1" si="29"/>
        <v>27321</v>
      </c>
      <c r="E281" s="265">
        <f t="shared" ca="1" si="24"/>
        <v>-8.4304525166389865E-14</v>
      </c>
      <c r="F281" s="251">
        <f t="shared" ca="1" si="25"/>
        <v>-1</v>
      </c>
      <c r="G281" s="252">
        <f t="shared" ca="1" si="26"/>
        <v>-0.54064081745612957</v>
      </c>
      <c r="H281" s="246"/>
      <c r="I281" s="246"/>
      <c r="J281" s="246"/>
      <c r="K281" s="246"/>
      <c r="L281" s="246"/>
      <c r="M281" s="246"/>
      <c r="N281" s="246"/>
      <c r="O281" s="246"/>
      <c r="P281" s="282"/>
      <c r="Q281" s="283"/>
      <c r="R281" s="291"/>
      <c r="S281" s="297" t="str">
        <f t="shared" ca="1" si="27"/>
        <v xml:space="preserve"> </v>
      </c>
    </row>
    <row r="282" spans="1:19">
      <c r="A282" s="533"/>
      <c r="B282" s="268">
        <v>8</v>
      </c>
      <c r="C282" s="248">
        <f t="shared" si="28"/>
        <v>280</v>
      </c>
      <c r="D282" s="249">
        <f t="shared" ca="1" si="29"/>
        <v>27322</v>
      </c>
      <c r="E282" s="265">
        <f t="shared" ca="1" si="24"/>
        <v>0.29475517440965354</v>
      </c>
      <c r="F282" s="251">
        <f t="shared" ca="1" si="25"/>
        <v>-0.97492791218194086</v>
      </c>
      <c r="G282" s="252">
        <f t="shared" ca="1" si="26"/>
        <v>-0.3716624556611775</v>
      </c>
      <c r="H282" s="246"/>
      <c r="I282" s="246"/>
      <c r="J282" s="246"/>
      <c r="K282" s="246"/>
      <c r="L282" s="246"/>
      <c r="M282" s="246"/>
      <c r="N282" s="246"/>
      <c r="O282" s="246"/>
      <c r="P282" s="282"/>
      <c r="Q282" s="283"/>
      <c r="R282" s="291"/>
      <c r="S282" s="297" t="str">
        <f t="shared" ca="1" si="27"/>
        <v xml:space="preserve"> </v>
      </c>
    </row>
    <row r="283" spans="1:19">
      <c r="A283" s="533"/>
      <c r="B283" s="268">
        <v>9</v>
      </c>
      <c r="C283" s="248">
        <f t="shared" si="28"/>
        <v>281</v>
      </c>
      <c r="D283" s="249">
        <f t="shared" ca="1" si="29"/>
        <v>27323</v>
      </c>
      <c r="E283" s="265">
        <f t="shared" ca="1" si="24"/>
        <v>0.56332005806378327</v>
      </c>
      <c r="F283" s="251">
        <f t="shared" ca="1" si="25"/>
        <v>-0.90096886790235564</v>
      </c>
      <c r="G283" s="252">
        <f t="shared" ca="1" si="26"/>
        <v>-0.18925124436069421</v>
      </c>
      <c r="H283" s="246"/>
      <c r="I283" s="246"/>
      <c r="J283" s="246"/>
      <c r="K283" s="246"/>
      <c r="L283" s="246"/>
      <c r="M283" s="246"/>
      <c r="N283" s="246"/>
      <c r="O283" s="246"/>
      <c r="P283" s="282"/>
      <c r="Q283" s="283"/>
      <c r="R283" s="291"/>
      <c r="S283" s="297" t="str">
        <f t="shared" ca="1" si="27"/>
        <v xml:space="preserve"> </v>
      </c>
    </row>
    <row r="284" spans="1:19">
      <c r="A284" s="533"/>
      <c r="B284" s="268">
        <v>10</v>
      </c>
      <c r="C284" s="248">
        <f t="shared" si="28"/>
        <v>282</v>
      </c>
      <c r="D284" s="249">
        <f t="shared" ca="1" si="29"/>
        <v>27324</v>
      </c>
      <c r="E284" s="265">
        <f t="shared" ca="1" si="24"/>
        <v>0.78183148246795509</v>
      </c>
      <c r="F284" s="251">
        <f t="shared" ca="1" si="25"/>
        <v>-0.78183148246808587</v>
      </c>
      <c r="G284" s="252">
        <f t="shared" ca="1" si="26"/>
        <v>-5.7236680672811957E-13</v>
      </c>
      <c r="H284" s="246"/>
      <c r="I284" s="246"/>
      <c r="J284" s="246"/>
      <c r="K284" s="246"/>
      <c r="L284" s="246"/>
      <c r="M284" s="246"/>
      <c r="N284" s="246"/>
      <c r="O284" s="246"/>
      <c r="P284" s="282"/>
      <c r="Q284" s="283"/>
      <c r="R284" s="291"/>
      <c r="S284" s="297" t="str">
        <f t="shared" ca="1" si="27"/>
        <v xml:space="preserve"> </v>
      </c>
    </row>
    <row r="285" spans="1:19">
      <c r="A285" s="533"/>
      <c r="B285" s="268">
        <v>11</v>
      </c>
      <c r="C285" s="248">
        <f t="shared" si="28"/>
        <v>283</v>
      </c>
      <c r="D285" s="249">
        <f t="shared" ca="1" si="29"/>
        <v>27325</v>
      </c>
      <c r="E285" s="265">
        <f t="shared" ca="1" si="24"/>
        <v>0.93087374864371308</v>
      </c>
      <c r="F285" s="251">
        <f t="shared" ca="1" si="25"/>
        <v>-0.6234898018589885</v>
      </c>
      <c r="G285" s="252">
        <f t="shared" ca="1" si="26"/>
        <v>0.18925124435957014</v>
      </c>
      <c r="H285" s="246"/>
      <c r="I285" s="246"/>
      <c r="J285" s="246"/>
      <c r="K285" s="246"/>
      <c r="L285" s="246"/>
      <c r="M285" s="246"/>
      <c r="N285" s="246"/>
      <c r="O285" s="246"/>
      <c r="P285" s="282"/>
      <c r="Q285" s="283"/>
      <c r="R285" s="291"/>
      <c r="S285" s="297" t="str">
        <f t="shared" ca="1" si="27"/>
        <v xml:space="preserve"> </v>
      </c>
    </row>
    <row r="286" spans="1:19">
      <c r="A286" s="533"/>
      <c r="B286" s="268">
        <v>12</v>
      </c>
      <c r="C286" s="248">
        <f t="shared" si="28"/>
        <v>284</v>
      </c>
      <c r="D286" s="249">
        <f t="shared" ca="1" si="29"/>
        <v>27326</v>
      </c>
      <c r="E286" s="265">
        <f t="shared" ca="1" si="24"/>
        <v>0.99720379718119212</v>
      </c>
      <c r="F286" s="251">
        <f t="shared" ca="1" si="25"/>
        <v>-0.43388373911724543</v>
      </c>
      <c r="G286" s="252">
        <f t="shared" ca="1" si="26"/>
        <v>0.37166245566011474</v>
      </c>
      <c r="H286" s="246"/>
      <c r="I286" s="246"/>
      <c r="J286" s="246"/>
      <c r="K286" s="246"/>
      <c r="L286" s="246"/>
      <c r="M286" s="246"/>
      <c r="N286" s="246"/>
      <c r="O286" s="246"/>
      <c r="P286" s="282"/>
      <c r="Q286" s="283"/>
      <c r="R286" s="291"/>
      <c r="S286" s="297" t="str">
        <f t="shared" ca="1" si="27"/>
        <v xml:space="preserve"> </v>
      </c>
    </row>
    <row r="287" spans="1:19">
      <c r="A287" s="533"/>
      <c r="B287" s="268">
        <v>13</v>
      </c>
      <c r="C287" s="248">
        <f t="shared" si="28"/>
        <v>285</v>
      </c>
      <c r="D287" s="249">
        <f t="shared" ca="1" si="29"/>
        <v>27327</v>
      </c>
      <c r="E287" s="265">
        <f t="shared" ca="1" si="24"/>
        <v>0.97492791218185815</v>
      </c>
      <c r="F287" s="251">
        <f t="shared" ca="1" si="25"/>
        <v>-0.22252093395709308</v>
      </c>
      <c r="G287" s="252">
        <f t="shared" ca="1" si="26"/>
        <v>0.54064081745516657</v>
      </c>
      <c r="H287" s="246"/>
      <c r="I287" s="246"/>
      <c r="J287" s="246"/>
      <c r="K287" s="246"/>
      <c r="L287" s="246"/>
      <c r="M287" s="246"/>
      <c r="N287" s="246"/>
      <c r="O287" s="246"/>
      <c r="P287" s="282"/>
      <c r="Q287" s="283"/>
      <c r="R287" s="291"/>
      <c r="S287" s="297" t="str">
        <f t="shared" ca="1" si="27"/>
        <v xml:space="preserve"> </v>
      </c>
    </row>
    <row r="288" spans="1:19">
      <c r="A288" s="533"/>
      <c r="B288" s="268">
        <v>14</v>
      </c>
      <c r="C288" s="248">
        <f t="shared" si="28"/>
        <v>286</v>
      </c>
      <c r="D288" s="249">
        <f t="shared" ca="1" si="29"/>
        <v>27328</v>
      </c>
      <c r="E288" s="265">
        <f t="shared" ca="1" si="24"/>
        <v>0.86602540378421911</v>
      </c>
      <c r="F288" s="251">
        <f t="shared" ca="1" si="25"/>
        <v>-1.254621406765466E-13</v>
      </c>
      <c r="G288" s="252">
        <f t="shared" ca="1" si="26"/>
        <v>0.69007901148219453</v>
      </c>
      <c r="H288" s="246"/>
      <c r="I288" s="246"/>
      <c r="J288" s="246"/>
      <c r="K288" s="246"/>
      <c r="L288" s="246"/>
      <c r="M288" s="246"/>
      <c r="N288" s="246"/>
      <c r="O288" s="246"/>
      <c r="P288" s="282"/>
      <c r="Q288" s="283"/>
      <c r="R288" s="291"/>
      <c r="S288" s="297" t="str">
        <f t="shared" ca="1" si="27"/>
        <v xml:space="preserve"> </v>
      </c>
    </row>
    <row r="289" spans="1:19">
      <c r="A289" s="533"/>
      <c r="B289" s="268">
        <v>15</v>
      </c>
      <c r="C289" s="248">
        <f t="shared" si="28"/>
        <v>287</v>
      </c>
      <c r="D289" s="249">
        <f t="shared" ca="1" si="29"/>
        <v>27329</v>
      </c>
      <c r="E289" s="265">
        <f t="shared" ca="1" si="24"/>
        <v>0.68017273777082843</v>
      </c>
      <c r="F289" s="251">
        <f t="shared" ca="1" si="25"/>
        <v>0.22252093395596176</v>
      </c>
      <c r="G289" s="252">
        <f t="shared" ca="1" si="26"/>
        <v>0.81457595205023758</v>
      </c>
      <c r="H289" s="246"/>
      <c r="I289" s="246"/>
      <c r="J289" s="246"/>
      <c r="K289" s="246"/>
      <c r="L289" s="246"/>
      <c r="M289" s="246"/>
      <c r="N289" s="246"/>
      <c r="O289" s="246"/>
      <c r="P289" s="282"/>
      <c r="Q289" s="283"/>
      <c r="R289" s="291"/>
      <c r="S289" s="297" t="str">
        <f t="shared" ca="1" si="27"/>
        <v xml:space="preserve"> </v>
      </c>
    </row>
    <row r="290" spans="1:19">
      <c r="A290" s="533"/>
      <c r="B290" s="268">
        <v>16</v>
      </c>
      <c r="C290" s="248">
        <f t="shared" si="28"/>
        <v>288</v>
      </c>
      <c r="D290" s="249">
        <f t="shared" ca="1" si="29"/>
        <v>27330</v>
      </c>
      <c r="E290" s="265">
        <f t="shared" ca="1" si="24"/>
        <v>0.4338837391177302</v>
      </c>
      <c r="F290" s="251">
        <f t="shared" ca="1" si="25"/>
        <v>0.43388373911701933</v>
      </c>
      <c r="G290" s="252">
        <f t="shared" ca="1" si="26"/>
        <v>0.90963199535433048</v>
      </c>
      <c r="H290" s="246"/>
      <c r="I290" s="246"/>
      <c r="J290" s="246"/>
      <c r="K290" s="246"/>
      <c r="L290" s="246"/>
      <c r="M290" s="246"/>
      <c r="N290" s="246"/>
      <c r="O290" s="246"/>
      <c r="P290" s="282"/>
      <c r="Q290" s="283"/>
      <c r="R290" s="291"/>
      <c r="S290" s="297" t="str">
        <f t="shared" ca="1" si="27"/>
        <v xml:space="preserve"> </v>
      </c>
    </row>
    <row r="291" spans="1:19">
      <c r="A291" s="533"/>
      <c r="B291" s="268">
        <v>17</v>
      </c>
      <c r="C291" s="248">
        <f t="shared" si="28"/>
        <v>289</v>
      </c>
      <c r="D291" s="249">
        <f t="shared" ca="1" si="29"/>
        <v>27331</v>
      </c>
      <c r="E291" s="265">
        <f t="shared" ca="1" si="24"/>
        <v>0.14904226617577546</v>
      </c>
      <c r="F291" s="251">
        <f t="shared" ca="1" si="25"/>
        <v>0.62348980185879233</v>
      </c>
      <c r="G291" s="252">
        <f t="shared" ca="1" si="26"/>
        <v>0.97181156832358273</v>
      </c>
      <c r="H291" s="246"/>
      <c r="I291" s="246"/>
      <c r="J291" s="246"/>
      <c r="K291" s="246"/>
      <c r="L291" s="246"/>
      <c r="M291" s="246"/>
      <c r="N291" s="246"/>
      <c r="O291" s="246"/>
      <c r="P291" s="282"/>
      <c r="Q291" s="283"/>
      <c r="R291" s="291"/>
      <c r="S291" s="297" t="str">
        <f t="shared" ca="1" si="27"/>
        <v xml:space="preserve"> </v>
      </c>
    </row>
    <row r="292" spans="1:19">
      <c r="A292" s="533"/>
      <c r="B292" s="268">
        <v>18</v>
      </c>
      <c r="C292" s="248">
        <f t="shared" si="28"/>
        <v>290</v>
      </c>
      <c r="D292" s="249">
        <f t="shared" ca="1" si="29"/>
        <v>27332</v>
      </c>
      <c r="E292" s="265">
        <f t="shared" ca="1" si="24"/>
        <v>-0.14904226617626193</v>
      </c>
      <c r="F292" s="251">
        <f t="shared" ca="1" si="25"/>
        <v>0.78183148246792944</v>
      </c>
      <c r="G292" s="252">
        <f t="shared" ca="1" si="26"/>
        <v>0.99886733918300274</v>
      </c>
      <c r="H292" s="246"/>
      <c r="I292" s="246"/>
      <c r="J292" s="246"/>
      <c r="K292" s="246"/>
      <c r="L292" s="246"/>
      <c r="M292" s="246"/>
      <c r="N292" s="246"/>
      <c r="O292" s="246"/>
      <c r="P292" s="282"/>
      <c r="Q292" s="283"/>
      <c r="R292" s="291"/>
      <c r="S292" s="297" t="str">
        <f t="shared" ca="1" si="27"/>
        <v xml:space="preserve"> </v>
      </c>
    </row>
    <row r="293" spans="1:19">
      <c r="A293" s="533"/>
      <c r="B293" s="268">
        <v>19</v>
      </c>
      <c r="C293" s="248">
        <f t="shared" si="28"/>
        <v>291</v>
      </c>
      <c r="D293" s="249">
        <f t="shared" ca="1" si="29"/>
        <v>27333</v>
      </c>
      <c r="E293" s="265">
        <f t="shared" ca="1" si="24"/>
        <v>-0.43388373911653455</v>
      </c>
      <c r="F293" s="251">
        <f t="shared" ca="1" si="25"/>
        <v>0.90096886790224673</v>
      </c>
      <c r="G293" s="252">
        <f t="shared" ca="1" si="26"/>
        <v>0.98982144188098853</v>
      </c>
      <c r="H293" s="246"/>
      <c r="I293" s="246"/>
      <c r="J293" s="246"/>
      <c r="K293" s="246"/>
      <c r="L293" s="246"/>
      <c r="M293" s="246"/>
      <c r="N293" s="246"/>
      <c r="O293" s="246"/>
      <c r="P293" s="282"/>
      <c r="Q293" s="283"/>
      <c r="R293" s="291"/>
      <c r="S293" s="297" t="str">
        <f t="shared" ca="1" si="27"/>
        <v xml:space="preserve"> </v>
      </c>
    </row>
    <row r="294" spans="1:19">
      <c r="A294" s="533"/>
      <c r="B294" s="268">
        <v>20</v>
      </c>
      <c r="C294" s="248">
        <f t="shared" si="28"/>
        <v>292</v>
      </c>
      <c r="D294" s="249">
        <f t="shared" ca="1" si="29"/>
        <v>27334</v>
      </c>
      <c r="E294" s="265">
        <f t="shared" ca="1" si="24"/>
        <v>-0.68017273777118914</v>
      </c>
      <c r="F294" s="251">
        <f t="shared" ca="1" si="25"/>
        <v>0.97492791218188501</v>
      </c>
      <c r="G294" s="252">
        <f t="shared" ca="1" si="26"/>
        <v>0.94500081871459196</v>
      </c>
      <c r="H294" s="246"/>
      <c r="I294" s="246"/>
      <c r="J294" s="246"/>
      <c r="K294" s="246"/>
      <c r="L294" s="246"/>
      <c r="M294" s="246"/>
      <c r="N294" s="246"/>
      <c r="O294" s="246"/>
      <c r="P294" s="282"/>
      <c r="Q294" s="283"/>
      <c r="R294" s="291"/>
      <c r="S294" s="297" t="str">
        <f t="shared" ca="1" si="27"/>
        <v xml:space="preserve"> </v>
      </c>
    </row>
    <row r="295" spans="1:19">
      <c r="A295" s="533"/>
      <c r="B295" s="268">
        <v>21</v>
      </c>
      <c r="C295" s="248">
        <f t="shared" si="28"/>
        <v>293</v>
      </c>
      <c r="D295" s="249">
        <f t="shared" ca="1" si="29"/>
        <v>27335</v>
      </c>
      <c r="E295" s="265">
        <f t="shared" ca="1" si="24"/>
        <v>-0.86602540378446513</v>
      </c>
      <c r="F295" s="251">
        <f t="shared" ca="1" si="25"/>
        <v>1</v>
      </c>
      <c r="G295" s="252">
        <f t="shared" ca="1" si="26"/>
        <v>0.86602540378446313</v>
      </c>
      <c r="H295" s="246"/>
      <c r="I295" s="246"/>
      <c r="J295" s="246"/>
      <c r="K295" s="246"/>
      <c r="L295" s="246"/>
      <c r="M295" s="246"/>
      <c r="N295" s="246"/>
      <c r="O295" s="246"/>
      <c r="P295" s="282"/>
      <c r="Q295" s="283"/>
      <c r="R295" s="291"/>
      <c r="S295" s="297" t="str">
        <f t="shared" ca="1" si="27"/>
        <v xml:space="preserve"> </v>
      </c>
    </row>
    <row r="296" spans="1:19">
      <c r="A296" s="533"/>
      <c r="B296" s="268">
        <v>22</v>
      </c>
      <c r="C296" s="248">
        <f t="shared" si="28"/>
        <v>294</v>
      </c>
      <c r="D296" s="249">
        <f t="shared" ca="1" si="29"/>
        <v>27336</v>
      </c>
      <c r="E296" s="265">
        <f t="shared" ca="1" si="24"/>
        <v>-0.97492791218156294</v>
      </c>
      <c r="F296" s="251">
        <f t="shared" ca="1" si="25"/>
        <v>0.97492791218186736</v>
      </c>
      <c r="G296" s="252">
        <f t="shared" ca="1" si="26"/>
        <v>0.75574957435447576</v>
      </c>
      <c r="H296" s="246"/>
      <c r="I296" s="246"/>
      <c r="J296" s="246"/>
      <c r="K296" s="246"/>
      <c r="L296" s="246"/>
      <c r="M296" s="246"/>
      <c r="N296" s="246"/>
      <c r="O296" s="246"/>
      <c r="P296" s="282"/>
      <c r="Q296" s="283"/>
      <c r="R296" s="291"/>
      <c r="S296" s="297" t="str">
        <f t="shared" ca="1" si="27"/>
        <v xml:space="preserve"> </v>
      </c>
    </row>
    <row r="297" spans="1:19">
      <c r="A297" s="533"/>
      <c r="B297" s="268">
        <v>23</v>
      </c>
      <c r="C297" s="248">
        <f t="shared" si="28"/>
        <v>295</v>
      </c>
      <c r="D297" s="249">
        <f t="shared" ca="1" si="29"/>
        <v>27337</v>
      </c>
      <c r="E297" s="265">
        <f t="shared" ca="1" si="24"/>
        <v>-0.99720379718115526</v>
      </c>
      <c r="F297" s="251">
        <f t="shared" ca="1" si="25"/>
        <v>0.90096886790221231</v>
      </c>
      <c r="G297" s="252">
        <f t="shared" ca="1" si="26"/>
        <v>0.61815898622037402</v>
      </c>
      <c r="H297" s="246"/>
      <c r="I297" s="246"/>
      <c r="J297" s="246"/>
      <c r="K297" s="246"/>
      <c r="L297" s="246"/>
      <c r="M297" s="246"/>
      <c r="N297" s="246"/>
      <c r="O297" s="246"/>
      <c r="P297" s="282"/>
      <c r="Q297" s="283"/>
      <c r="R297" s="291"/>
      <c r="S297" s="297" t="str">
        <f t="shared" ca="1" si="27"/>
        <v xml:space="preserve"> </v>
      </c>
    </row>
    <row r="298" spans="1:19">
      <c r="A298" s="533"/>
      <c r="B298" s="268">
        <v>24</v>
      </c>
      <c r="C298" s="248">
        <f t="shared" si="28"/>
        <v>296</v>
      </c>
      <c r="D298" s="249">
        <f t="shared" ca="1" si="29"/>
        <v>27338</v>
      </c>
      <c r="E298" s="265">
        <f t="shared" ca="1" si="24"/>
        <v>-0.93087374864419792</v>
      </c>
      <c r="F298" s="251">
        <f t="shared" ca="1" si="25"/>
        <v>0.78183148246844703</v>
      </c>
      <c r="G298" s="252">
        <f t="shared" ca="1" si="26"/>
        <v>0.45822652172740058</v>
      </c>
      <c r="H298" s="246"/>
      <c r="I298" s="246"/>
      <c r="J298" s="246"/>
      <c r="K298" s="246"/>
      <c r="L298" s="246"/>
      <c r="M298" s="246"/>
      <c r="N298" s="246"/>
      <c r="O298" s="246"/>
      <c r="P298" s="282"/>
      <c r="Q298" s="283"/>
      <c r="R298" s="291"/>
      <c r="S298" s="297" t="str">
        <f t="shared" ca="1" si="27"/>
        <v xml:space="preserve"> </v>
      </c>
    </row>
    <row r="299" spans="1:19">
      <c r="A299" s="533"/>
      <c r="B299" s="268">
        <v>25</v>
      </c>
      <c r="C299" s="248">
        <f t="shared" si="28"/>
        <v>297</v>
      </c>
      <c r="D299" s="249">
        <f t="shared" ca="1" si="29"/>
        <v>27339</v>
      </c>
      <c r="E299" s="265">
        <f t="shared" ca="1" si="24"/>
        <v>-0.78183148246878242</v>
      </c>
      <c r="F299" s="251">
        <f t="shared" ca="1" si="25"/>
        <v>0.62348980185944136</v>
      </c>
      <c r="G299" s="252">
        <f t="shared" ca="1" si="26"/>
        <v>0.2817325568416908</v>
      </c>
      <c r="H299" s="246"/>
      <c r="I299" s="246"/>
      <c r="J299" s="246"/>
      <c r="K299" s="246"/>
      <c r="L299" s="246"/>
      <c r="M299" s="246"/>
      <c r="N299" s="246"/>
      <c r="O299" s="246"/>
      <c r="P299" s="282"/>
      <c r="Q299" s="283"/>
      <c r="R299" s="291"/>
      <c r="S299" s="297" t="str">
        <f t="shared" ca="1" si="27"/>
        <v xml:space="preserve"> </v>
      </c>
    </row>
    <row r="300" spans="1:19">
      <c r="A300" s="533"/>
      <c r="B300" s="268">
        <v>26</v>
      </c>
      <c r="C300" s="248">
        <f t="shared" si="28"/>
        <v>298</v>
      </c>
      <c r="D300" s="249">
        <f t="shared" ca="1" si="29"/>
        <v>27340</v>
      </c>
      <c r="E300" s="265">
        <f t="shared" ca="1" si="24"/>
        <v>-0.56332005806337682</v>
      </c>
      <c r="F300" s="251">
        <f t="shared" ca="1" si="25"/>
        <v>0.43388373911776729</v>
      </c>
      <c r="G300" s="252">
        <f t="shared" ca="1" si="26"/>
        <v>9.5056043303830037E-2</v>
      </c>
      <c r="H300" s="246"/>
      <c r="I300" s="246"/>
      <c r="J300" s="246"/>
      <c r="K300" s="246"/>
      <c r="L300" s="246"/>
      <c r="M300" s="246"/>
      <c r="N300" s="246"/>
      <c r="O300" s="246"/>
      <c r="P300" s="282"/>
      <c r="Q300" s="283"/>
      <c r="R300" s="291"/>
      <c r="S300" s="297" t="str">
        <f t="shared" ca="1" si="27"/>
        <v xml:space="preserve"> </v>
      </c>
    </row>
    <row r="301" spans="1:19">
      <c r="A301" s="533"/>
      <c r="B301" s="268">
        <v>27</v>
      </c>
      <c r="C301" s="248">
        <f t="shared" si="28"/>
        <v>299</v>
      </c>
      <c r="D301" s="249">
        <f t="shared" ca="1" si="29"/>
        <v>27341</v>
      </c>
      <c r="E301" s="265">
        <f t="shared" ca="1" si="24"/>
        <v>-0.29475517441092164</v>
      </c>
      <c r="F301" s="251">
        <f t="shared" ca="1" si="25"/>
        <v>0.22252093395677108</v>
      </c>
      <c r="G301" s="252">
        <f t="shared" ca="1" si="26"/>
        <v>-9.5056043304253435E-2</v>
      </c>
      <c r="H301" s="246"/>
      <c r="I301" s="246"/>
      <c r="J301" s="246"/>
      <c r="K301" s="246"/>
      <c r="L301" s="246"/>
      <c r="M301" s="246"/>
      <c r="N301" s="246"/>
      <c r="O301" s="246"/>
      <c r="P301" s="282"/>
      <c r="Q301" s="283"/>
      <c r="R301" s="291"/>
      <c r="S301" s="297" t="str">
        <f t="shared" ca="1" si="27"/>
        <v xml:space="preserve"> </v>
      </c>
    </row>
    <row r="302" spans="1:19">
      <c r="A302" s="533"/>
      <c r="B302" s="268">
        <v>28</v>
      </c>
      <c r="C302" s="248">
        <f t="shared" si="28"/>
        <v>300</v>
      </c>
      <c r="D302" s="249">
        <f t="shared" ca="1" si="29"/>
        <v>27342</v>
      </c>
      <c r="E302" s="265">
        <f t="shared" ca="1" si="24"/>
        <v>-1.2427342141463349E-12</v>
      </c>
      <c r="F302" s="251">
        <f t="shared" ca="1" si="25"/>
        <v>7.0467698516651911E-13</v>
      </c>
      <c r="G302" s="252">
        <f t="shared" ca="1" si="26"/>
        <v>-0.28173255684122622</v>
      </c>
      <c r="H302" s="246"/>
      <c r="I302" s="246"/>
      <c r="J302" s="246"/>
      <c r="K302" s="246"/>
      <c r="L302" s="246"/>
      <c r="M302" s="246"/>
      <c r="N302" s="246"/>
      <c r="O302" s="246"/>
      <c r="P302" s="282"/>
      <c r="Q302" s="283"/>
      <c r="R302" s="291"/>
      <c r="S302" s="297" t="str">
        <f t="shared" ca="1" si="27"/>
        <v xml:space="preserve"> </v>
      </c>
    </row>
    <row r="303" spans="1:19">
      <c r="A303" s="533"/>
      <c r="B303" s="268">
        <v>29</v>
      </c>
      <c r="C303" s="248">
        <f t="shared" si="28"/>
        <v>301</v>
      </c>
      <c r="D303" s="249">
        <f t="shared" ca="1" si="29"/>
        <v>27343</v>
      </c>
      <c r="E303" s="265">
        <f t="shared" ca="1" si="24"/>
        <v>0.29475517441115384</v>
      </c>
      <c r="F303" s="251">
        <f t="shared" ca="1" si="25"/>
        <v>-0.22252093395628375</v>
      </c>
      <c r="G303" s="252">
        <f t="shared" ca="1" si="26"/>
        <v>-0.45822652172777861</v>
      </c>
      <c r="H303" s="246"/>
      <c r="I303" s="246"/>
      <c r="J303" s="246"/>
      <c r="K303" s="246"/>
      <c r="L303" s="246"/>
      <c r="M303" s="246"/>
      <c r="N303" s="246"/>
      <c r="O303" s="246"/>
      <c r="P303" s="282"/>
      <c r="Q303" s="283"/>
      <c r="R303" s="291"/>
      <c r="S303" s="297" t="str">
        <f t="shared" ca="1" si="27"/>
        <v xml:space="preserve"> </v>
      </c>
    </row>
    <row r="304" spans="1:19">
      <c r="A304" s="533"/>
      <c r="B304" s="268">
        <v>30</v>
      </c>
      <c r="C304" s="248">
        <f t="shared" si="28"/>
        <v>302</v>
      </c>
      <c r="D304" s="249">
        <f t="shared" ca="1" si="29"/>
        <v>27344</v>
      </c>
      <c r="E304" s="265">
        <f t="shared" ca="1" si="24"/>
        <v>0.56332005806282615</v>
      </c>
      <c r="F304" s="251">
        <f t="shared" ca="1" si="25"/>
        <v>-0.43388373911731692</v>
      </c>
      <c r="G304" s="252">
        <f t="shared" ca="1" si="26"/>
        <v>-0.61815898621999343</v>
      </c>
      <c r="H304" s="246"/>
      <c r="I304" s="246"/>
      <c r="J304" s="246"/>
      <c r="K304" s="246"/>
      <c r="L304" s="246"/>
      <c r="M304" s="246"/>
      <c r="N304" s="246"/>
      <c r="O304" s="246"/>
      <c r="P304" s="282"/>
      <c r="Q304" s="283"/>
      <c r="R304" s="291"/>
      <c r="S304" s="297" t="str">
        <f t="shared" ca="1" si="27"/>
        <v xml:space="preserve"> </v>
      </c>
    </row>
    <row r="305" spans="1:19" ht="13.5" thickBot="1">
      <c r="A305" s="534"/>
      <c r="B305" s="269">
        <v>31</v>
      </c>
      <c r="C305" s="254">
        <f t="shared" si="28"/>
        <v>303</v>
      </c>
      <c r="D305" s="255">
        <f t="shared" ca="1" si="29"/>
        <v>27345</v>
      </c>
      <c r="E305" s="266">
        <f t="shared" ca="1" si="24"/>
        <v>0.78183148246836698</v>
      </c>
      <c r="F305" s="257">
        <f t="shared" ca="1" si="25"/>
        <v>-0.62348980185905056</v>
      </c>
      <c r="G305" s="258">
        <f t="shared" ca="1" si="26"/>
        <v>-0.75574957435415879</v>
      </c>
      <c r="H305" s="246"/>
      <c r="I305" s="246"/>
      <c r="J305" s="246"/>
      <c r="K305" s="246"/>
      <c r="L305" s="246"/>
      <c r="M305" s="246"/>
      <c r="N305" s="246"/>
      <c r="O305" s="246"/>
      <c r="P305" s="284"/>
      <c r="Q305" s="285"/>
      <c r="R305" s="292"/>
      <c r="S305" s="298" t="str">
        <f t="shared" ca="1" si="27"/>
        <v xml:space="preserve"> </v>
      </c>
    </row>
    <row r="306" spans="1:19">
      <c r="A306" s="532" t="s">
        <v>283</v>
      </c>
      <c r="B306" s="267">
        <v>1</v>
      </c>
      <c r="C306" s="260">
        <f t="shared" si="28"/>
        <v>304</v>
      </c>
      <c r="D306" s="261">
        <f t="shared" ca="1" si="29"/>
        <v>27346</v>
      </c>
      <c r="E306" s="262">
        <f t="shared" ca="1" si="24"/>
        <v>0.93087374864428674</v>
      </c>
      <c r="F306" s="263">
        <f t="shared" ca="1" si="25"/>
        <v>-0.78183148246813539</v>
      </c>
      <c r="G306" s="264">
        <f t="shared" ca="1" si="26"/>
        <v>-0.8660254037842211</v>
      </c>
      <c r="H306" s="246"/>
      <c r="I306" s="246"/>
      <c r="J306" s="246"/>
      <c r="K306" s="246"/>
      <c r="L306" s="246"/>
      <c r="M306" s="246"/>
      <c r="N306" s="246"/>
      <c r="O306" s="246"/>
      <c r="P306" s="286"/>
      <c r="Q306" s="287"/>
      <c r="R306" s="294"/>
      <c r="S306" s="296" t="str">
        <f t="shared" ca="1" si="27"/>
        <v xml:space="preserve"> </v>
      </c>
    </row>
    <row r="307" spans="1:19">
      <c r="A307" s="533"/>
      <c r="B307" s="268">
        <v>2</v>
      </c>
      <c r="C307" s="248">
        <f t="shared" si="28"/>
        <v>305</v>
      </c>
      <c r="D307" s="249">
        <f t="shared" ca="1" si="29"/>
        <v>27347</v>
      </c>
      <c r="E307" s="265">
        <f t="shared" ca="1" si="24"/>
        <v>0.99720379718110552</v>
      </c>
      <c r="F307" s="251">
        <f t="shared" ca="1" si="25"/>
        <v>-0.90096886790239006</v>
      </c>
      <c r="G307" s="252">
        <f t="shared" ca="1" si="26"/>
        <v>-0.94500081871443353</v>
      </c>
      <c r="H307" s="246"/>
      <c r="I307" s="246"/>
      <c r="J307" s="246"/>
      <c r="K307" s="246"/>
      <c r="L307" s="246"/>
      <c r="M307" s="246"/>
      <c r="N307" s="246"/>
      <c r="O307" s="246"/>
      <c r="P307" s="282"/>
      <c r="Q307" s="283"/>
      <c r="R307" s="291"/>
      <c r="S307" s="297" t="str">
        <f t="shared" ca="1" si="27"/>
        <v xml:space="preserve"> </v>
      </c>
    </row>
    <row r="308" spans="1:19">
      <c r="A308" s="533"/>
      <c r="B308" s="268">
        <v>3</v>
      </c>
      <c r="C308" s="248">
        <f t="shared" si="28"/>
        <v>306</v>
      </c>
      <c r="D308" s="249">
        <f t="shared" ca="1" si="29"/>
        <v>27348</v>
      </c>
      <c r="E308" s="265">
        <f t="shared" ca="1" si="24"/>
        <v>0.97492791218171115</v>
      </c>
      <c r="F308" s="251">
        <f t="shared" ca="1" si="25"/>
        <v>-0.97492791218195851</v>
      </c>
      <c r="G308" s="252">
        <f t="shared" ca="1" si="26"/>
        <v>-0.98982144188091969</v>
      </c>
      <c r="H308" s="246"/>
      <c r="I308" s="246"/>
      <c r="J308" s="246"/>
      <c r="K308" s="246"/>
      <c r="L308" s="246"/>
      <c r="M308" s="246"/>
      <c r="N308" s="246"/>
      <c r="O308" s="246"/>
      <c r="P308" s="282"/>
      <c r="Q308" s="283"/>
      <c r="R308" s="291"/>
      <c r="S308" s="297" t="str">
        <f t="shared" ca="1" si="27"/>
        <v xml:space="preserve"> </v>
      </c>
    </row>
    <row r="309" spans="1:19">
      <c r="A309" s="533"/>
      <c r="B309" s="268">
        <v>4</v>
      </c>
      <c r="C309" s="248">
        <f t="shared" si="28"/>
        <v>307</v>
      </c>
      <c r="D309" s="249">
        <f t="shared" ca="1" si="29"/>
        <v>27349</v>
      </c>
      <c r="E309" s="265">
        <f t="shared" ca="1" si="24"/>
        <v>0.86602540378434356</v>
      </c>
      <c r="F309" s="251">
        <f t="shared" ca="1" si="25"/>
        <v>-1</v>
      </c>
      <c r="G309" s="252">
        <f t="shared" ca="1" si="26"/>
        <v>-0.99886733918302584</v>
      </c>
      <c r="H309" s="246"/>
      <c r="I309" s="246"/>
      <c r="J309" s="246"/>
      <c r="K309" s="246"/>
      <c r="L309" s="246"/>
      <c r="M309" s="246"/>
      <c r="N309" s="246"/>
      <c r="O309" s="246"/>
      <c r="P309" s="282"/>
      <c r="Q309" s="283"/>
      <c r="R309" s="291"/>
      <c r="S309" s="297" t="str">
        <f t="shared" ca="1" si="27"/>
        <v xml:space="preserve"> </v>
      </c>
    </row>
    <row r="310" spans="1:19">
      <c r="A310" s="533"/>
      <c r="B310" s="268">
        <v>5</v>
      </c>
      <c r="C310" s="248">
        <f t="shared" si="28"/>
        <v>308</v>
      </c>
      <c r="D310" s="249">
        <f t="shared" ca="1" si="29"/>
        <v>27350</v>
      </c>
      <c r="E310" s="265">
        <f t="shared" ca="1" si="24"/>
        <v>0.68017273777167764</v>
      </c>
      <c r="F310" s="251">
        <f t="shared" ca="1" si="25"/>
        <v>-0.97492791218199626</v>
      </c>
      <c r="G310" s="252">
        <f t="shared" ca="1" si="26"/>
        <v>-0.97181156832369686</v>
      </c>
      <c r="H310" s="246"/>
      <c r="I310" s="246"/>
      <c r="J310" s="246"/>
      <c r="K310" s="246"/>
      <c r="L310" s="246"/>
      <c r="M310" s="246"/>
      <c r="N310" s="246"/>
      <c r="O310" s="246"/>
      <c r="P310" s="282"/>
      <c r="Q310" s="283"/>
      <c r="R310" s="291"/>
      <c r="S310" s="297" t="str">
        <f t="shared" ca="1" si="27"/>
        <v xml:space="preserve"> </v>
      </c>
    </row>
    <row r="311" spans="1:19">
      <c r="A311" s="533"/>
      <c r="B311" s="268">
        <v>6</v>
      </c>
      <c r="C311" s="248">
        <f t="shared" si="28"/>
        <v>309</v>
      </c>
      <c r="D311" s="249">
        <f t="shared" ca="1" si="29"/>
        <v>27351</v>
      </c>
      <c r="E311" s="265">
        <f t="shared" ca="1" si="24"/>
        <v>0.43388373911713507</v>
      </c>
      <c r="F311" s="251">
        <f t="shared" ca="1" si="25"/>
        <v>-0.90096886790246367</v>
      </c>
      <c r="G311" s="252">
        <f t="shared" ca="1" si="26"/>
        <v>-0.90963199535453165</v>
      </c>
      <c r="H311" s="246"/>
      <c r="I311" s="246"/>
      <c r="J311" s="246"/>
      <c r="K311" s="246"/>
      <c r="L311" s="246"/>
      <c r="M311" s="246"/>
      <c r="N311" s="246"/>
      <c r="O311" s="246"/>
      <c r="P311" s="282"/>
      <c r="Q311" s="283"/>
      <c r="R311" s="291"/>
      <c r="S311" s="297" t="str">
        <f t="shared" ca="1" si="27"/>
        <v xml:space="preserve"> </v>
      </c>
    </row>
    <row r="312" spans="1:19">
      <c r="A312" s="533"/>
      <c r="B312" s="268">
        <v>7</v>
      </c>
      <c r="C312" s="248">
        <f t="shared" si="28"/>
        <v>310</v>
      </c>
      <c r="D312" s="249">
        <f t="shared" ca="1" si="29"/>
        <v>27352</v>
      </c>
      <c r="E312" s="265">
        <f t="shared" ca="1" si="24"/>
        <v>0.14904226617602162</v>
      </c>
      <c r="F312" s="251">
        <f t="shared" ca="1" si="25"/>
        <v>-0.78183148246824108</v>
      </c>
      <c r="G312" s="252">
        <f t="shared" ca="1" si="26"/>
        <v>-0.81457595205051847</v>
      </c>
      <c r="H312" s="246"/>
      <c r="I312" s="246"/>
      <c r="J312" s="246"/>
      <c r="K312" s="246"/>
      <c r="L312" s="246"/>
      <c r="M312" s="246"/>
      <c r="N312" s="246"/>
      <c r="O312" s="246"/>
      <c r="P312" s="282"/>
      <c r="Q312" s="283"/>
      <c r="R312" s="291"/>
      <c r="S312" s="297" t="str">
        <f t="shared" ca="1" si="27"/>
        <v xml:space="preserve"> </v>
      </c>
    </row>
    <row r="313" spans="1:19">
      <c r="A313" s="533"/>
      <c r="B313" s="268">
        <v>8</v>
      </c>
      <c r="C313" s="248">
        <f t="shared" si="28"/>
        <v>311</v>
      </c>
      <c r="D313" s="249">
        <f t="shared" ca="1" si="29"/>
        <v>27353</v>
      </c>
      <c r="E313" s="265">
        <f t="shared" ca="1" si="24"/>
        <v>-0.14904226617511643</v>
      </c>
      <c r="F313" s="251">
        <f t="shared" ca="1" si="25"/>
        <v>-0.62348980185918312</v>
      </c>
      <c r="G313" s="252">
        <f t="shared" ca="1" si="26"/>
        <v>-0.69007901148254491</v>
      </c>
      <c r="H313" s="246"/>
      <c r="I313" s="246"/>
      <c r="J313" s="246"/>
      <c r="K313" s="246"/>
      <c r="L313" s="246"/>
      <c r="M313" s="246"/>
      <c r="N313" s="246"/>
      <c r="O313" s="246"/>
      <c r="P313" s="282"/>
      <c r="Q313" s="283"/>
      <c r="R313" s="291"/>
      <c r="S313" s="297" t="str">
        <f t="shared" ca="1" si="27"/>
        <v xml:space="preserve"> </v>
      </c>
    </row>
    <row r="314" spans="1:19">
      <c r="A314" s="533"/>
      <c r="B314" s="268">
        <v>9</v>
      </c>
      <c r="C314" s="248">
        <f t="shared" si="28"/>
        <v>312</v>
      </c>
      <c r="D314" s="249">
        <f t="shared" ca="1" si="29"/>
        <v>27354</v>
      </c>
      <c r="E314" s="265">
        <f t="shared" ca="1" si="24"/>
        <v>-0.43388373911794914</v>
      </c>
      <c r="F314" s="251">
        <f t="shared" ca="1" si="25"/>
        <v>-0.43388373911746969</v>
      </c>
      <c r="G314" s="252">
        <f t="shared" ca="1" si="26"/>
        <v>-0.54064081745557391</v>
      </c>
      <c r="H314" s="246"/>
      <c r="I314" s="246"/>
      <c r="J314" s="246"/>
      <c r="K314" s="246"/>
      <c r="L314" s="246"/>
      <c r="M314" s="246"/>
      <c r="N314" s="246"/>
      <c r="O314" s="246"/>
      <c r="P314" s="282"/>
      <c r="Q314" s="283"/>
      <c r="R314" s="291"/>
      <c r="S314" s="297" t="str">
        <f t="shared" ca="1" si="27"/>
        <v xml:space="preserve"> </v>
      </c>
    </row>
    <row r="315" spans="1:19">
      <c r="A315" s="533"/>
      <c r="B315" s="268">
        <v>10</v>
      </c>
      <c r="C315" s="248">
        <f t="shared" si="28"/>
        <v>313</v>
      </c>
      <c r="D315" s="249">
        <f t="shared" ca="1" si="29"/>
        <v>27355</v>
      </c>
      <c r="E315" s="265">
        <f t="shared" ca="1" si="24"/>
        <v>-0.68017273777033993</v>
      </c>
      <c r="F315" s="251">
        <f t="shared" ca="1" si="25"/>
        <v>-0.22252093395644906</v>
      </c>
      <c r="G315" s="252">
        <f t="shared" ca="1" si="26"/>
        <v>-0.37166245566056427</v>
      </c>
      <c r="H315" s="246"/>
      <c r="I315" s="246"/>
      <c r="J315" s="246"/>
      <c r="K315" s="246"/>
      <c r="L315" s="246"/>
      <c r="M315" s="246"/>
      <c r="N315" s="246"/>
      <c r="O315" s="246"/>
      <c r="P315" s="282"/>
      <c r="Q315" s="283"/>
      <c r="R315" s="291"/>
      <c r="S315" s="297" t="str">
        <f t="shared" ca="1" si="27"/>
        <v xml:space="preserve"> </v>
      </c>
    </row>
    <row r="316" spans="1:19">
      <c r="A316" s="533"/>
      <c r="B316" s="268">
        <v>11</v>
      </c>
      <c r="C316" s="248">
        <f t="shared" si="28"/>
        <v>314</v>
      </c>
      <c r="D316" s="249">
        <f t="shared" ca="1" si="29"/>
        <v>27356</v>
      </c>
      <c r="E316" s="265">
        <f t="shared" ca="1" si="24"/>
        <v>-0.86602540378388593</v>
      </c>
      <c r="F316" s="251">
        <f t="shared" ca="1" si="25"/>
        <v>-3.7439712788356339E-13</v>
      </c>
      <c r="G316" s="252">
        <f t="shared" ca="1" si="26"/>
        <v>-0.18925124436093863</v>
      </c>
      <c r="H316" s="246"/>
      <c r="I316" s="246"/>
      <c r="J316" s="246"/>
      <c r="K316" s="246"/>
      <c r="L316" s="246"/>
      <c r="M316" s="246"/>
      <c r="N316" s="246"/>
      <c r="O316" s="246"/>
      <c r="P316" s="282"/>
      <c r="Q316" s="283"/>
      <c r="R316" s="291"/>
      <c r="S316" s="297" t="str">
        <f t="shared" ca="1" si="27"/>
        <v xml:space="preserve"> </v>
      </c>
    </row>
    <row r="317" spans="1:19">
      <c r="A317" s="533"/>
      <c r="B317" s="268">
        <v>12</v>
      </c>
      <c r="C317" s="248">
        <f t="shared" si="28"/>
        <v>315</v>
      </c>
      <c r="D317" s="249">
        <f t="shared" ca="1" si="29"/>
        <v>27357</v>
      </c>
      <c r="E317" s="265">
        <f t="shared" ca="1" si="24"/>
        <v>-0.97492791218191222</v>
      </c>
      <c r="F317" s="251">
        <f t="shared" ca="1" si="25"/>
        <v>0.22252093395660574</v>
      </c>
      <c r="G317" s="252">
        <f t="shared" ca="1" si="26"/>
        <v>8.8192907837791878E-14</v>
      </c>
      <c r="H317" s="246"/>
      <c r="I317" s="246"/>
      <c r="J317" s="246"/>
      <c r="K317" s="246"/>
      <c r="L317" s="246"/>
      <c r="M317" s="246"/>
      <c r="N317" s="246"/>
      <c r="O317" s="246"/>
      <c r="P317" s="282"/>
      <c r="Q317" s="283"/>
      <c r="R317" s="291"/>
      <c r="S317" s="297" t="str">
        <f t="shared" ca="1" si="27"/>
        <v xml:space="preserve"> </v>
      </c>
    </row>
    <row r="318" spans="1:19">
      <c r="A318" s="533"/>
      <c r="B318" s="268">
        <v>13</v>
      </c>
      <c r="C318" s="248">
        <f t="shared" si="28"/>
        <v>316</v>
      </c>
      <c r="D318" s="249">
        <f t="shared" ca="1" si="29"/>
        <v>27358</v>
      </c>
      <c r="E318" s="265">
        <f t="shared" ca="1" si="24"/>
        <v>-0.99720379718124186</v>
      </c>
      <c r="F318" s="251">
        <f t="shared" ca="1" si="25"/>
        <v>0.43388373911761452</v>
      </c>
      <c r="G318" s="252">
        <f t="shared" ca="1" si="26"/>
        <v>0.18925124436021878</v>
      </c>
      <c r="H318" s="246"/>
      <c r="I318" s="246"/>
      <c r="J318" s="246"/>
      <c r="K318" s="246"/>
      <c r="L318" s="246"/>
      <c r="M318" s="246"/>
      <c r="N318" s="246"/>
      <c r="O318" s="246"/>
      <c r="P318" s="282"/>
      <c r="Q318" s="283"/>
      <c r="R318" s="291"/>
      <c r="S318" s="297" t="str">
        <f t="shared" ca="1" si="27"/>
        <v xml:space="preserve"> </v>
      </c>
    </row>
    <row r="319" spans="1:19">
      <c r="A319" s="533"/>
      <c r="B319" s="268">
        <v>14</v>
      </c>
      <c r="C319" s="248">
        <f t="shared" si="28"/>
        <v>317</v>
      </c>
      <c r="D319" s="249">
        <f t="shared" ca="1" si="29"/>
        <v>27359</v>
      </c>
      <c r="E319" s="265">
        <f t="shared" ca="1" si="24"/>
        <v>-0.93087374864462114</v>
      </c>
      <c r="F319" s="251">
        <f t="shared" ca="1" si="25"/>
        <v>0.62348980185788661</v>
      </c>
      <c r="G319" s="252">
        <f t="shared" ca="1" si="26"/>
        <v>0.37166245565988365</v>
      </c>
      <c r="H319" s="246"/>
      <c r="I319" s="246"/>
      <c r="J319" s="246"/>
      <c r="K319" s="246"/>
      <c r="L319" s="246"/>
      <c r="M319" s="246"/>
      <c r="N319" s="246"/>
      <c r="O319" s="246"/>
      <c r="P319" s="282"/>
      <c r="Q319" s="283"/>
      <c r="R319" s="291"/>
      <c r="S319" s="297" t="str">
        <f t="shared" ca="1" si="27"/>
        <v xml:space="preserve"> </v>
      </c>
    </row>
    <row r="320" spans="1:19">
      <c r="A320" s="533"/>
      <c r="B320" s="268">
        <v>15</v>
      </c>
      <c r="C320" s="248">
        <f t="shared" si="28"/>
        <v>318</v>
      </c>
      <c r="D320" s="249">
        <f t="shared" ca="1" si="29"/>
        <v>27360</v>
      </c>
      <c r="E320" s="265">
        <f t="shared" ca="1" si="24"/>
        <v>-0.78183148246780354</v>
      </c>
      <c r="F320" s="251">
        <f t="shared" ca="1" si="25"/>
        <v>0.78183148246777423</v>
      </c>
      <c r="G320" s="252">
        <f t="shared" ca="1" si="26"/>
        <v>0.54064081745572234</v>
      </c>
      <c r="H320" s="246"/>
      <c r="I320" s="246"/>
      <c r="J320" s="246"/>
      <c r="K320" s="246"/>
      <c r="L320" s="246"/>
      <c r="M320" s="246"/>
      <c r="N320" s="246"/>
      <c r="O320" s="246"/>
      <c r="P320" s="282"/>
      <c r="Q320" s="283"/>
      <c r="R320" s="291"/>
      <c r="S320" s="297" t="str">
        <f t="shared" ca="1" si="27"/>
        <v xml:space="preserve"> </v>
      </c>
    </row>
    <row r="321" spans="1:19">
      <c r="A321" s="533"/>
      <c r="B321" s="268">
        <v>16</v>
      </c>
      <c r="C321" s="248">
        <f t="shared" si="28"/>
        <v>319</v>
      </c>
      <c r="D321" s="249">
        <f t="shared" ca="1" si="29"/>
        <v>27361</v>
      </c>
      <c r="E321" s="265">
        <f t="shared" ca="1" si="24"/>
        <v>-0.56332005806433394</v>
      </c>
      <c r="F321" s="251">
        <f t="shared" ca="1" si="25"/>
        <v>0.9009688679021387</v>
      </c>
      <c r="G321" s="252">
        <f t="shared" ca="1" si="26"/>
        <v>0.69007901148201434</v>
      </c>
      <c r="H321" s="246"/>
      <c r="I321" s="246"/>
      <c r="J321" s="246"/>
      <c r="K321" s="246"/>
      <c r="L321" s="246"/>
      <c r="M321" s="246"/>
      <c r="N321" s="246"/>
      <c r="O321" s="246"/>
      <c r="P321" s="282"/>
      <c r="Q321" s="283"/>
      <c r="R321" s="291"/>
      <c r="S321" s="297" t="str">
        <f t="shared" ca="1" si="27"/>
        <v xml:space="preserve"> </v>
      </c>
    </row>
    <row r="322" spans="1:19">
      <c r="A322" s="533"/>
      <c r="B322" s="268">
        <v>17</v>
      </c>
      <c r="C322" s="248">
        <f t="shared" si="28"/>
        <v>320</v>
      </c>
      <c r="D322" s="249">
        <f t="shared" ca="1" si="29"/>
        <v>27362</v>
      </c>
      <c r="E322" s="265">
        <f t="shared" ca="1" si="24"/>
        <v>-0.29475517441202859</v>
      </c>
      <c r="F322" s="251">
        <f t="shared" ca="1" si="25"/>
        <v>0.97492791218162722</v>
      </c>
      <c r="G322" s="252">
        <f t="shared" ca="1" si="26"/>
        <v>0.81457595205009325</v>
      </c>
      <c r="H322" s="246"/>
      <c r="I322" s="246"/>
      <c r="J322" s="246"/>
      <c r="K322" s="246"/>
      <c r="L322" s="246"/>
      <c r="M322" s="246"/>
      <c r="N322" s="246"/>
      <c r="O322" s="246"/>
      <c r="P322" s="282"/>
      <c r="Q322" s="283"/>
      <c r="R322" s="291"/>
      <c r="S322" s="297" t="str">
        <f t="shared" ca="1" si="27"/>
        <v xml:space="preserve"> </v>
      </c>
    </row>
    <row r="323" spans="1:19">
      <c r="A323" s="533"/>
      <c r="B323" s="268">
        <v>18</v>
      </c>
      <c r="C323" s="248">
        <f t="shared" si="28"/>
        <v>321</v>
      </c>
      <c r="D323" s="249">
        <f t="shared" ca="1" si="29"/>
        <v>27363</v>
      </c>
      <c r="E323" s="265">
        <f t="shared" ref="E323:E366" ca="1" si="30">SIN(2*PI()*$D323/21)</f>
        <v>3.2732020219250479E-13</v>
      </c>
      <c r="F323" s="251">
        <f t="shared" ref="F323:F366" ca="1" si="31">SIN(2*PI()*$D323/28)</f>
        <v>1</v>
      </c>
      <c r="G323" s="252">
        <f t="shared" ref="G323:G366" ca="1" si="32">SIN(2*PI()*$D323/33)</f>
        <v>0.90963199535460493</v>
      </c>
      <c r="H323" s="246"/>
      <c r="I323" s="246"/>
      <c r="J323" s="246"/>
      <c r="K323" s="246"/>
      <c r="L323" s="246"/>
      <c r="M323" s="246"/>
      <c r="N323" s="246"/>
      <c r="O323" s="246"/>
      <c r="P323" s="282"/>
      <c r="Q323" s="283"/>
      <c r="R323" s="291"/>
      <c r="S323" s="297" t="str">
        <f t="shared" ref="S323:S366" ca="1" si="33">IF(AND(E323&gt;0.6,F323&gt;0.6,G323&gt;0.6),"&lt;----OK",IF(AND(E323&lt;-0.6,F323&lt;-0.6,G323&lt;-0.6),"&lt;XXX&gt;"," "))</f>
        <v xml:space="preserve"> </v>
      </c>
    </row>
    <row r="324" spans="1:19">
      <c r="A324" s="533"/>
      <c r="B324" s="268">
        <v>19</v>
      </c>
      <c r="C324" s="248">
        <f t="shared" ref="C324:C366" si="34">+C323+1</f>
        <v>322</v>
      </c>
      <c r="D324" s="249">
        <f t="shared" ref="D324:D366" ca="1" si="35">+$D$2+C324</f>
        <v>27364</v>
      </c>
      <c r="E324" s="265">
        <f t="shared" ca="1" si="30"/>
        <v>0.29475517441004689</v>
      </c>
      <c r="F324" s="251">
        <f t="shared" ca="1" si="31"/>
        <v>0.97492791218192276</v>
      </c>
      <c r="G324" s="252">
        <f t="shared" ca="1" si="32"/>
        <v>0.971811568323524</v>
      </c>
      <c r="H324" s="246"/>
      <c r="I324" s="246"/>
      <c r="J324" s="246"/>
      <c r="K324" s="246"/>
      <c r="L324" s="246"/>
      <c r="M324" s="246"/>
      <c r="N324" s="246"/>
      <c r="O324" s="246"/>
      <c r="P324" s="282"/>
      <c r="Q324" s="283"/>
      <c r="R324" s="291"/>
      <c r="S324" s="297" t="str">
        <f t="shared" ca="1" si="33"/>
        <v xml:space="preserve"> </v>
      </c>
    </row>
    <row r="325" spans="1:19">
      <c r="A325" s="533"/>
      <c r="B325" s="268">
        <v>20</v>
      </c>
      <c r="C325" s="248">
        <f t="shared" si="34"/>
        <v>323</v>
      </c>
      <c r="D325" s="249">
        <f t="shared" ca="1" si="35"/>
        <v>27365</v>
      </c>
      <c r="E325" s="265">
        <f t="shared" ca="1" si="30"/>
        <v>0.56332005806412333</v>
      </c>
      <c r="F325" s="251">
        <f t="shared" ca="1" si="31"/>
        <v>0.90096886790232034</v>
      </c>
      <c r="G325" s="252">
        <f t="shared" ca="1" si="32"/>
        <v>0.99886733918303416</v>
      </c>
      <c r="H325" s="246"/>
      <c r="I325" s="246"/>
      <c r="J325" s="246"/>
      <c r="K325" s="246"/>
      <c r="L325" s="246"/>
      <c r="M325" s="246"/>
      <c r="N325" s="246"/>
      <c r="O325" s="246"/>
      <c r="P325" s="282"/>
      <c r="Q325" s="283"/>
      <c r="R325" s="291"/>
      <c r="S325" s="297" t="str">
        <f t="shared" ca="1" si="33"/>
        <v xml:space="preserve"> </v>
      </c>
    </row>
    <row r="326" spans="1:19">
      <c r="A326" s="533"/>
      <c r="B326" s="268">
        <v>21</v>
      </c>
      <c r="C326" s="248">
        <f t="shared" si="34"/>
        <v>324</v>
      </c>
      <c r="D326" s="249">
        <f t="shared" ca="1" si="35"/>
        <v>27366</v>
      </c>
      <c r="E326" s="265">
        <f t="shared" ca="1" si="30"/>
        <v>0.78183148246764467</v>
      </c>
      <c r="F326" s="251">
        <f t="shared" ca="1" si="31"/>
        <v>0.78183148246803513</v>
      </c>
      <c r="G326" s="252">
        <f t="shared" ca="1" si="32"/>
        <v>0.98982144188089449</v>
      </c>
      <c r="H326" s="246"/>
      <c r="I326" s="246"/>
      <c r="J326" s="246"/>
      <c r="K326" s="246"/>
      <c r="L326" s="246"/>
      <c r="M326" s="246"/>
      <c r="N326" s="246"/>
      <c r="O326" s="246"/>
      <c r="P326" s="282"/>
      <c r="Q326" s="283"/>
      <c r="R326" s="291"/>
      <c r="S326" s="297" t="str">
        <f t="shared" ca="1" si="33"/>
        <v>&lt;----OK</v>
      </c>
    </row>
    <row r="327" spans="1:19">
      <c r="A327" s="533"/>
      <c r="B327" s="268">
        <v>22</v>
      </c>
      <c r="C327" s="248">
        <f t="shared" si="34"/>
        <v>325</v>
      </c>
      <c r="D327" s="249">
        <f t="shared" ca="1" si="35"/>
        <v>27367</v>
      </c>
      <c r="E327" s="265">
        <f t="shared" ca="1" si="30"/>
        <v>0.93087374864386352</v>
      </c>
      <c r="F327" s="251">
        <f t="shared" ca="1" si="31"/>
        <v>0.62348980185892489</v>
      </c>
      <c r="G327" s="252">
        <f t="shared" ca="1" si="32"/>
        <v>0.94500081871467334</v>
      </c>
      <c r="H327" s="246"/>
      <c r="I327" s="246"/>
      <c r="J327" s="246"/>
      <c r="K327" s="246"/>
      <c r="L327" s="246"/>
      <c r="M327" s="246"/>
      <c r="N327" s="246"/>
      <c r="O327" s="246"/>
      <c r="P327" s="282"/>
      <c r="Q327" s="283"/>
      <c r="R327" s="291"/>
      <c r="S327" s="297" t="str">
        <f t="shared" ca="1" si="33"/>
        <v>&lt;----OK</v>
      </c>
    </row>
    <row r="328" spans="1:19">
      <c r="A328" s="533"/>
      <c r="B328" s="268">
        <v>23</v>
      </c>
      <c r="C328" s="248">
        <f t="shared" si="34"/>
        <v>326</v>
      </c>
      <c r="D328" s="249">
        <f t="shared" ca="1" si="35"/>
        <v>27368</v>
      </c>
      <c r="E328" s="265">
        <f t="shared" ca="1" si="30"/>
        <v>0.99720379718122287</v>
      </c>
      <c r="F328" s="251">
        <f t="shared" ca="1" si="31"/>
        <v>0.43388373911717215</v>
      </c>
      <c r="G328" s="252">
        <f t="shared" ca="1" si="32"/>
        <v>0.86602540378458759</v>
      </c>
      <c r="H328" s="246"/>
      <c r="I328" s="246"/>
      <c r="J328" s="246"/>
      <c r="K328" s="246"/>
      <c r="L328" s="246"/>
      <c r="M328" s="246"/>
      <c r="N328" s="246"/>
      <c r="O328" s="246"/>
      <c r="P328" s="282"/>
      <c r="Q328" s="283"/>
      <c r="R328" s="291"/>
      <c r="S328" s="297" t="str">
        <f t="shared" ca="1" si="33"/>
        <v xml:space="preserve"> </v>
      </c>
    </row>
    <row r="329" spans="1:19">
      <c r="A329" s="533"/>
      <c r="B329" s="268">
        <v>24</v>
      </c>
      <c r="C329" s="248">
        <f t="shared" si="34"/>
        <v>327</v>
      </c>
      <c r="D329" s="249">
        <f t="shared" ca="1" si="35"/>
        <v>27369</v>
      </c>
      <c r="E329" s="265">
        <f t="shared" ca="1" si="30"/>
        <v>0.97492791218196895</v>
      </c>
      <c r="F329" s="251">
        <f t="shared" ca="1" si="31"/>
        <v>0.22252093395612707</v>
      </c>
      <c r="G329" s="252">
        <f t="shared" ca="1" si="32"/>
        <v>0.75574957435463885</v>
      </c>
      <c r="H329" s="246"/>
      <c r="I329" s="246"/>
      <c r="J329" s="246"/>
      <c r="K329" s="246"/>
      <c r="L329" s="246"/>
      <c r="M329" s="246"/>
      <c r="N329" s="246"/>
      <c r="O329" s="246"/>
      <c r="P329" s="282"/>
      <c r="Q329" s="283"/>
      <c r="R329" s="291"/>
      <c r="S329" s="297" t="str">
        <f t="shared" ca="1" si="33"/>
        <v xml:space="preserve"> </v>
      </c>
    </row>
    <row r="330" spans="1:19">
      <c r="A330" s="533"/>
      <c r="B330" s="268">
        <v>25</v>
      </c>
      <c r="C330" s="248">
        <f t="shared" si="34"/>
        <v>328</v>
      </c>
      <c r="D330" s="249">
        <f t="shared" ca="1" si="35"/>
        <v>27370</v>
      </c>
      <c r="E330" s="265">
        <f t="shared" ca="1" si="30"/>
        <v>0.86602540378492276</v>
      </c>
      <c r="F330" s="251">
        <f t="shared" ca="1" si="31"/>
        <v>9.536119723735359E-13</v>
      </c>
      <c r="G330" s="252">
        <f t="shared" ca="1" si="32"/>
        <v>0.61815898622128451</v>
      </c>
      <c r="H330" s="246"/>
      <c r="I330" s="246"/>
      <c r="J330" s="246"/>
      <c r="K330" s="246"/>
      <c r="L330" s="246"/>
      <c r="M330" s="246"/>
      <c r="N330" s="246"/>
      <c r="O330" s="246"/>
      <c r="P330" s="282"/>
      <c r="Q330" s="283"/>
      <c r="R330" s="291"/>
      <c r="S330" s="297" t="str">
        <f t="shared" ca="1" si="33"/>
        <v xml:space="preserve"> </v>
      </c>
    </row>
    <row r="331" spans="1:19">
      <c r="A331" s="533"/>
      <c r="B331" s="268">
        <v>26</v>
      </c>
      <c r="C331" s="248">
        <f t="shared" si="34"/>
        <v>329</v>
      </c>
      <c r="D331" s="249">
        <f t="shared" ca="1" si="35"/>
        <v>27371</v>
      </c>
      <c r="E331" s="265">
        <f t="shared" ca="1" si="30"/>
        <v>0.68017273777052678</v>
      </c>
      <c r="F331" s="251">
        <f t="shared" ca="1" si="31"/>
        <v>-0.22252093395604106</v>
      </c>
      <c r="G331" s="252">
        <f t="shared" ca="1" si="32"/>
        <v>0.45822652172762185</v>
      </c>
      <c r="H331" s="246"/>
      <c r="I331" s="246"/>
      <c r="J331" s="246"/>
      <c r="K331" s="246"/>
      <c r="L331" s="246"/>
      <c r="M331" s="246"/>
      <c r="N331" s="246"/>
      <c r="O331" s="246"/>
      <c r="P331" s="282"/>
      <c r="Q331" s="283"/>
      <c r="R331" s="291"/>
      <c r="S331" s="297" t="str">
        <f t="shared" ca="1" si="33"/>
        <v xml:space="preserve"> </v>
      </c>
    </row>
    <row r="332" spans="1:19">
      <c r="A332" s="533"/>
      <c r="B332" s="268">
        <v>27</v>
      </c>
      <c r="C332" s="248">
        <f t="shared" si="34"/>
        <v>330</v>
      </c>
      <c r="D332" s="249">
        <f t="shared" ca="1" si="35"/>
        <v>27372</v>
      </c>
      <c r="E332" s="265">
        <f t="shared" ca="1" si="30"/>
        <v>0.43388373911817874</v>
      </c>
      <c r="F332" s="251">
        <f t="shared" ca="1" si="31"/>
        <v>-0.43388373911709266</v>
      </c>
      <c r="G332" s="252">
        <f t="shared" ca="1" si="32"/>
        <v>0.28173255684192966</v>
      </c>
      <c r="H332" s="246"/>
      <c r="I332" s="246"/>
      <c r="J332" s="246"/>
      <c r="K332" s="246"/>
      <c r="L332" s="246"/>
      <c r="M332" s="246"/>
      <c r="N332" s="246"/>
      <c r="O332" s="246"/>
      <c r="P332" s="282"/>
      <c r="Q332" s="283"/>
      <c r="R332" s="291"/>
      <c r="S332" s="297" t="str">
        <f t="shared" ca="1" si="33"/>
        <v xml:space="preserve"> </v>
      </c>
    </row>
    <row r="333" spans="1:19">
      <c r="A333" s="533"/>
      <c r="B333" s="268">
        <v>28</v>
      </c>
      <c r="C333" s="248">
        <f t="shared" si="34"/>
        <v>331</v>
      </c>
      <c r="D333" s="249">
        <f t="shared" ca="1" si="35"/>
        <v>27373</v>
      </c>
      <c r="E333" s="265">
        <f t="shared" ca="1" si="30"/>
        <v>0.14904226617716712</v>
      </c>
      <c r="F333" s="251">
        <f t="shared" ca="1" si="31"/>
        <v>-0.62348980185814484</v>
      </c>
      <c r="G333" s="252">
        <f t="shared" ca="1" si="32"/>
        <v>9.5056043304983212E-2</v>
      </c>
      <c r="H333" s="246"/>
      <c r="I333" s="246"/>
      <c r="J333" s="246"/>
      <c r="K333" s="246"/>
      <c r="L333" s="246"/>
      <c r="M333" s="246"/>
      <c r="N333" s="246"/>
      <c r="O333" s="246"/>
      <c r="P333" s="282"/>
      <c r="Q333" s="283"/>
      <c r="R333" s="291"/>
      <c r="S333" s="297" t="str">
        <f t="shared" ca="1" si="33"/>
        <v xml:space="preserve"> </v>
      </c>
    </row>
    <row r="334" spans="1:19">
      <c r="A334" s="533"/>
      <c r="B334" s="268">
        <v>29</v>
      </c>
      <c r="C334" s="248">
        <f t="shared" si="34"/>
        <v>332</v>
      </c>
      <c r="D334" s="249">
        <f t="shared" ca="1" si="35"/>
        <v>27374</v>
      </c>
      <c r="E334" s="265">
        <f t="shared" ca="1" si="30"/>
        <v>-0.14904226617666896</v>
      </c>
      <c r="F334" s="251">
        <f t="shared" ca="1" si="31"/>
        <v>-0.78183148246798018</v>
      </c>
      <c r="G334" s="252">
        <f t="shared" ca="1" si="32"/>
        <v>-9.5056043304005619E-2</v>
      </c>
      <c r="H334" s="246"/>
      <c r="I334" s="246"/>
      <c r="J334" s="246"/>
      <c r="K334" s="246"/>
      <c r="L334" s="246"/>
      <c r="M334" s="246"/>
      <c r="N334" s="246"/>
      <c r="O334" s="246"/>
      <c r="P334" s="282"/>
      <c r="Q334" s="283"/>
      <c r="R334" s="291"/>
      <c r="S334" s="297" t="str">
        <f t="shared" ca="1" si="33"/>
        <v xml:space="preserve"> </v>
      </c>
    </row>
    <row r="335" spans="1:19" ht="13.5" thickBot="1">
      <c r="A335" s="534"/>
      <c r="B335" s="269">
        <v>30</v>
      </c>
      <c r="C335" s="254">
        <f t="shared" si="34"/>
        <v>333</v>
      </c>
      <c r="D335" s="255">
        <f t="shared" ca="1" si="35"/>
        <v>27375</v>
      </c>
      <c r="E335" s="266">
        <f t="shared" ca="1" si="30"/>
        <v>-0.43388373911690542</v>
      </c>
      <c r="F335" s="257">
        <f t="shared" ca="1" si="31"/>
        <v>-0.90096886790228203</v>
      </c>
      <c r="G335" s="258">
        <f t="shared" ca="1" si="32"/>
        <v>-0.28173255684098736</v>
      </c>
      <c r="H335" s="246"/>
      <c r="I335" s="246"/>
      <c r="J335" s="246"/>
      <c r="K335" s="246"/>
      <c r="L335" s="246"/>
      <c r="M335" s="246"/>
      <c r="N335" s="246"/>
      <c r="O335" s="246"/>
      <c r="P335" s="284"/>
      <c r="Q335" s="285"/>
      <c r="R335" s="292"/>
      <c r="S335" s="298" t="str">
        <f t="shared" ca="1" si="33"/>
        <v xml:space="preserve"> </v>
      </c>
    </row>
    <row r="336" spans="1:19">
      <c r="A336" s="532" t="s">
        <v>284</v>
      </c>
      <c r="B336" s="267">
        <v>1</v>
      </c>
      <c r="C336" s="260">
        <f t="shared" si="34"/>
        <v>334</v>
      </c>
      <c r="D336" s="261">
        <f t="shared" ca="1" si="35"/>
        <v>27376</v>
      </c>
      <c r="E336" s="262">
        <f t="shared" ca="1" si="30"/>
        <v>-0.68017273777015741</v>
      </c>
      <c r="F336" s="263">
        <f t="shared" ca="1" si="31"/>
        <v>-0.97492791218170072</v>
      </c>
      <c r="G336" s="264">
        <f t="shared" ca="1" si="32"/>
        <v>-0.45822652172674899</v>
      </c>
      <c r="H336" s="246"/>
      <c r="I336" s="246"/>
      <c r="J336" s="246"/>
      <c r="K336" s="246"/>
      <c r="L336" s="246"/>
      <c r="M336" s="246"/>
      <c r="N336" s="246"/>
      <c r="O336" s="246"/>
      <c r="P336" s="280"/>
      <c r="Q336" s="281"/>
      <c r="R336" s="290"/>
      <c r="S336" s="299" t="str">
        <f t="shared" ca="1" si="33"/>
        <v xml:space="preserve"> </v>
      </c>
    </row>
    <row r="337" spans="1:19">
      <c r="A337" s="533"/>
      <c r="B337" s="268">
        <v>2</v>
      </c>
      <c r="C337" s="248">
        <f t="shared" si="34"/>
        <v>335</v>
      </c>
      <c r="D337" s="249">
        <f t="shared" ca="1" si="35"/>
        <v>27377</v>
      </c>
      <c r="E337" s="265">
        <f t="shared" ca="1" si="30"/>
        <v>-0.86602540378421622</v>
      </c>
      <c r="F337" s="251">
        <f t="shared" ca="1" si="31"/>
        <v>-1</v>
      </c>
      <c r="G337" s="252">
        <f t="shared" ca="1" si="32"/>
        <v>-0.61815898622051257</v>
      </c>
      <c r="H337" s="246"/>
      <c r="I337" s="246"/>
      <c r="J337" s="246"/>
      <c r="K337" s="246"/>
      <c r="L337" s="246"/>
      <c r="M337" s="246"/>
      <c r="N337" s="246"/>
      <c r="O337" s="246"/>
      <c r="P337" s="282"/>
      <c r="Q337" s="283"/>
      <c r="R337" s="291"/>
      <c r="S337" s="297" t="str">
        <f t="shared" ca="1" si="33"/>
        <v>&lt;XXX&gt;</v>
      </c>
    </row>
    <row r="338" spans="1:19">
      <c r="A338" s="533"/>
      <c r="B338" s="268">
        <v>3</v>
      </c>
      <c r="C338" s="248">
        <f t="shared" si="34"/>
        <v>336</v>
      </c>
      <c r="D338" s="249">
        <f t="shared" ca="1" si="35"/>
        <v>27378</v>
      </c>
      <c r="E338" s="265">
        <f t="shared" ca="1" si="30"/>
        <v>-0.97492791218165453</v>
      </c>
      <c r="F338" s="251">
        <f t="shared" ca="1" si="31"/>
        <v>-0.97492791218184927</v>
      </c>
      <c r="G338" s="252">
        <f t="shared" ca="1" si="32"/>
        <v>-0.7557495743539957</v>
      </c>
      <c r="H338" s="246"/>
      <c r="I338" s="246"/>
      <c r="J338" s="246"/>
      <c r="K338" s="246"/>
      <c r="L338" s="246"/>
      <c r="M338" s="246"/>
      <c r="N338" s="246"/>
      <c r="O338" s="246"/>
      <c r="P338" s="282"/>
      <c r="Q338" s="283"/>
      <c r="R338" s="291"/>
      <c r="S338" s="297" t="str">
        <f t="shared" ca="1" si="33"/>
        <v>&lt;XXX&gt;</v>
      </c>
    </row>
    <row r="339" spans="1:19">
      <c r="A339" s="533"/>
      <c r="B339" s="268">
        <v>4</v>
      </c>
      <c r="C339" s="248">
        <f t="shared" si="34"/>
        <v>337</v>
      </c>
      <c r="D339" s="249">
        <f t="shared" ca="1" si="35"/>
        <v>27379</v>
      </c>
      <c r="E339" s="265">
        <f t="shared" ca="1" si="30"/>
        <v>-0.99720379718126051</v>
      </c>
      <c r="F339" s="251">
        <f t="shared" ca="1" si="31"/>
        <v>-0.90096886790257169</v>
      </c>
      <c r="G339" s="252">
        <f t="shared" ca="1" si="32"/>
        <v>-0.86602540378409665</v>
      </c>
      <c r="H339" s="246"/>
      <c r="I339" s="246"/>
      <c r="J339" s="246"/>
      <c r="K339" s="246"/>
      <c r="L339" s="246"/>
      <c r="M339" s="246"/>
      <c r="N339" s="246"/>
      <c r="O339" s="246"/>
      <c r="P339" s="282"/>
      <c r="Q339" s="283"/>
      <c r="R339" s="291"/>
      <c r="S339" s="297" t="str">
        <f t="shared" ca="1" si="33"/>
        <v>&lt;XXX&gt;</v>
      </c>
    </row>
    <row r="340" spans="1:19">
      <c r="A340" s="533"/>
      <c r="B340" s="268">
        <v>5</v>
      </c>
      <c r="C340" s="248">
        <f t="shared" si="34"/>
        <v>338</v>
      </c>
      <c r="D340" s="249">
        <f t="shared" ca="1" si="35"/>
        <v>27380</v>
      </c>
      <c r="E340" s="265">
        <f t="shared" ca="1" si="30"/>
        <v>-0.93087374864404748</v>
      </c>
      <c r="F340" s="251">
        <f t="shared" ca="1" si="31"/>
        <v>-0.78183148246782919</v>
      </c>
      <c r="G340" s="252">
        <f t="shared" ca="1" si="32"/>
        <v>-0.94500081871464958</v>
      </c>
      <c r="H340" s="246"/>
      <c r="I340" s="246"/>
      <c r="J340" s="246"/>
      <c r="K340" s="246"/>
      <c r="L340" s="246"/>
      <c r="M340" s="246"/>
      <c r="N340" s="246"/>
      <c r="O340" s="246"/>
      <c r="P340" s="282"/>
      <c r="Q340" s="283"/>
      <c r="R340" s="291"/>
      <c r="S340" s="297" t="str">
        <f t="shared" ca="1" si="33"/>
        <v>&lt;XXX&gt;</v>
      </c>
    </row>
    <row r="341" spans="1:19">
      <c r="A341" s="533"/>
      <c r="B341" s="268">
        <v>6</v>
      </c>
      <c r="C341" s="248">
        <f t="shared" si="34"/>
        <v>339</v>
      </c>
      <c r="D341" s="249">
        <f t="shared" ca="1" si="35"/>
        <v>27381</v>
      </c>
      <c r="E341" s="265">
        <f t="shared" ca="1" si="30"/>
        <v>-0.78183148246795875</v>
      </c>
      <c r="F341" s="251">
        <f t="shared" ca="1" si="31"/>
        <v>-0.62348980185937775</v>
      </c>
      <c r="G341" s="252">
        <f t="shared" ca="1" si="32"/>
        <v>-0.98982144188088417</v>
      </c>
      <c r="H341" s="246"/>
      <c r="I341" s="246"/>
      <c r="J341" s="246"/>
      <c r="K341" s="246"/>
      <c r="L341" s="246"/>
      <c r="M341" s="246"/>
      <c r="N341" s="246"/>
      <c r="O341" s="246"/>
      <c r="P341" s="282"/>
      <c r="Q341" s="283"/>
      <c r="R341" s="291"/>
      <c r="S341" s="297" t="str">
        <f t="shared" ca="1" si="33"/>
        <v>&lt;XXX&gt;</v>
      </c>
    </row>
    <row r="342" spans="1:19">
      <c r="A342" s="533"/>
      <c r="B342" s="268">
        <v>7</v>
      </c>
      <c r="C342" s="248">
        <f t="shared" si="34"/>
        <v>340</v>
      </c>
      <c r="D342" s="249">
        <f t="shared" ca="1" si="35"/>
        <v>27382</v>
      </c>
      <c r="E342" s="265">
        <f t="shared" ca="1" si="30"/>
        <v>-0.56332005806378815</v>
      </c>
      <c r="F342" s="251">
        <f t="shared" ca="1" si="31"/>
        <v>-0.43388373911769401</v>
      </c>
      <c r="G342" s="252">
        <f t="shared" ca="1" si="32"/>
        <v>-0.99886733918299442</v>
      </c>
      <c r="H342" s="246"/>
      <c r="I342" s="246"/>
      <c r="J342" s="246"/>
      <c r="K342" s="246"/>
      <c r="L342" s="246"/>
      <c r="M342" s="246"/>
      <c r="N342" s="246"/>
      <c r="O342" s="246"/>
      <c r="P342" s="282"/>
      <c r="Q342" s="283"/>
      <c r="R342" s="291"/>
      <c r="S342" s="297" t="str">
        <f t="shared" ca="1" si="33"/>
        <v xml:space="preserve"> </v>
      </c>
    </row>
    <row r="343" spans="1:19">
      <c r="A343" s="533"/>
      <c r="B343" s="268">
        <v>8</v>
      </c>
      <c r="C343" s="248">
        <f t="shared" si="34"/>
        <v>341</v>
      </c>
      <c r="D343" s="249">
        <f t="shared" ca="1" si="35"/>
        <v>27383</v>
      </c>
      <c r="E343" s="265">
        <f t="shared" ca="1" si="30"/>
        <v>-0.29475517441139737</v>
      </c>
      <c r="F343" s="251">
        <f t="shared" ca="1" si="31"/>
        <v>-0.22252093395669176</v>
      </c>
      <c r="G343" s="252">
        <f t="shared" ca="1" si="32"/>
        <v>-0.9718115683235411</v>
      </c>
      <c r="H343" s="246"/>
      <c r="I343" s="246"/>
      <c r="J343" s="246"/>
      <c r="K343" s="246"/>
      <c r="L343" s="246"/>
      <c r="M343" s="246"/>
      <c r="N343" s="246"/>
      <c r="O343" s="246"/>
      <c r="P343" s="282"/>
      <c r="Q343" s="283"/>
      <c r="R343" s="291"/>
      <c r="S343" s="297" t="str">
        <f t="shared" ca="1" si="33"/>
        <v xml:space="preserve"> </v>
      </c>
    </row>
    <row r="344" spans="1:19">
      <c r="A344" s="533"/>
      <c r="B344" s="268">
        <v>9</v>
      </c>
      <c r="C344" s="248">
        <f t="shared" si="34"/>
        <v>342</v>
      </c>
      <c r="D344" s="249">
        <f t="shared" ca="1" si="35"/>
        <v>27384</v>
      </c>
      <c r="E344" s="265">
        <f t="shared" ca="1" si="30"/>
        <v>-8.3110948678744023E-13</v>
      </c>
      <c r="F344" s="251">
        <f t="shared" ca="1" si="31"/>
        <v>-6.2333211509058017E-13</v>
      </c>
      <c r="G344" s="252">
        <f t="shared" ca="1" si="32"/>
        <v>-0.90963199535463501</v>
      </c>
      <c r="H344" s="246"/>
      <c r="I344" s="246"/>
      <c r="J344" s="246"/>
      <c r="K344" s="246"/>
      <c r="L344" s="246"/>
      <c r="M344" s="246"/>
      <c r="N344" s="246"/>
      <c r="O344" s="246"/>
      <c r="P344" s="282"/>
      <c r="Q344" s="283"/>
      <c r="R344" s="291"/>
      <c r="S344" s="297" t="str">
        <f t="shared" ca="1" si="33"/>
        <v xml:space="preserve"> </v>
      </c>
    </row>
    <row r="345" spans="1:19">
      <c r="A345" s="533"/>
      <c r="B345" s="268">
        <v>10</v>
      </c>
      <c r="C345" s="248">
        <f t="shared" si="34"/>
        <v>343</v>
      </c>
      <c r="D345" s="249">
        <f t="shared" ca="1" si="35"/>
        <v>27385</v>
      </c>
      <c r="E345" s="265">
        <f t="shared" ca="1" si="30"/>
        <v>0.29475517441154719</v>
      </c>
      <c r="F345" s="251">
        <f t="shared" ca="1" si="31"/>
        <v>0.22252093395636305</v>
      </c>
      <c r="G345" s="252">
        <f t="shared" ca="1" si="32"/>
        <v>-0.81457595205013533</v>
      </c>
      <c r="H345" s="246"/>
      <c r="I345" s="246"/>
      <c r="J345" s="246"/>
      <c r="K345" s="246"/>
      <c r="L345" s="246"/>
      <c r="M345" s="246"/>
      <c r="N345" s="246"/>
      <c r="O345" s="246"/>
      <c r="P345" s="282"/>
      <c r="Q345" s="283"/>
      <c r="R345" s="291"/>
      <c r="S345" s="297" t="str">
        <f t="shared" ca="1" si="33"/>
        <v xml:space="preserve"> </v>
      </c>
    </row>
    <row r="346" spans="1:19">
      <c r="A346" s="533"/>
      <c r="B346" s="268">
        <v>11</v>
      </c>
      <c r="C346" s="248">
        <f t="shared" si="34"/>
        <v>344</v>
      </c>
      <c r="D346" s="249">
        <f t="shared" ca="1" si="35"/>
        <v>27386</v>
      </c>
      <c r="E346" s="265">
        <f t="shared" ca="1" si="30"/>
        <v>0.56332005806391772</v>
      </c>
      <c r="F346" s="251">
        <f t="shared" ca="1" si="31"/>
        <v>0.4338837391173902</v>
      </c>
      <c r="G346" s="252">
        <f t="shared" ca="1" si="32"/>
        <v>-0.69007901148206685</v>
      </c>
      <c r="H346" s="246"/>
      <c r="I346" s="246"/>
      <c r="J346" s="246"/>
      <c r="K346" s="246"/>
      <c r="L346" s="246"/>
      <c r="M346" s="246"/>
      <c r="N346" s="246"/>
      <c r="O346" s="246"/>
      <c r="P346" s="282"/>
      <c r="Q346" s="283"/>
      <c r="R346" s="291"/>
      <c r="S346" s="297" t="str">
        <f t="shared" ca="1" si="33"/>
        <v xml:space="preserve"> </v>
      </c>
    </row>
    <row r="347" spans="1:19">
      <c r="A347" s="533"/>
      <c r="B347" s="268">
        <v>12</v>
      </c>
      <c r="C347" s="248">
        <f t="shared" si="34"/>
        <v>345</v>
      </c>
      <c r="D347" s="249">
        <f t="shared" ca="1" si="35"/>
        <v>27387</v>
      </c>
      <c r="E347" s="265">
        <f t="shared" ca="1" si="30"/>
        <v>0.78183148246805656</v>
      </c>
      <c r="F347" s="251">
        <f t="shared" ca="1" si="31"/>
        <v>0.62348980185840308</v>
      </c>
      <c r="G347" s="252">
        <f t="shared" ca="1" si="32"/>
        <v>-0.5406408174557833</v>
      </c>
      <c r="H347" s="246"/>
      <c r="I347" s="246"/>
      <c r="J347" s="246"/>
      <c r="K347" s="246"/>
      <c r="L347" s="246"/>
      <c r="M347" s="246"/>
      <c r="N347" s="246"/>
      <c r="O347" s="246"/>
      <c r="P347" s="282"/>
      <c r="Q347" s="283"/>
      <c r="R347" s="291"/>
      <c r="S347" s="297" t="str">
        <f t="shared" ca="1" si="33"/>
        <v xml:space="preserve"> </v>
      </c>
    </row>
    <row r="348" spans="1:19">
      <c r="A348" s="533"/>
      <c r="B348" s="268">
        <v>13</v>
      </c>
      <c r="C348" s="248">
        <f t="shared" si="34"/>
        <v>346</v>
      </c>
      <c r="D348" s="249">
        <f t="shared" ca="1" si="35"/>
        <v>27388</v>
      </c>
      <c r="E348" s="265">
        <f t="shared" ca="1" si="30"/>
        <v>0.93087374864410477</v>
      </c>
      <c r="F348" s="251">
        <f t="shared" ca="1" si="31"/>
        <v>0.78183148246818601</v>
      </c>
      <c r="G348" s="252">
        <f t="shared" ca="1" si="32"/>
        <v>-0.37166245565995104</v>
      </c>
      <c r="H348" s="246"/>
      <c r="I348" s="246"/>
      <c r="J348" s="246"/>
      <c r="K348" s="246"/>
      <c r="L348" s="246"/>
      <c r="M348" s="246"/>
      <c r="N348" s="246"/>
      <c r="O348" s="246"/>
      <c r="P348" s="282"/>
      <c r="Q348" s="283"/>
      <c r="R348" s="291"/>
      <c r="S348" s="297" t="str">
        <f t="shared" ca="1" si="33"/>
        <v xml:space="preserve"> </v>
      </c>
    </row>
    <row r="349" spans="1:19">
      <c r="A349" s="533"/>
      <c r="B349" s="268">
        <v>14</v>
      </c>
      <c r="C349" s="248">
        <f t="shared" si="34"/>
        <v>347</v>
      </c>
      <c r="D349" s="249">
        <f t="shared" ca="1" si="35"/>
        <v>27389</v>
      </c>
      <c r="E349" s="265">
        <f t="shared" ca="1" si="30"/>
        <v>0.99720379718113628</v>
      </c>
      <c r="F349" s="251">
        <f t="shared" ca="1" si="31"/>
        <v>0.90096886790242536</v>
      </c>
      <c r="G349" s="252">
        <f t="shared" ca="1" si="32"/>
        <v>-0.18925124436029001</v>
      </c>
      <c r="H349" s="246"/>
      <c r="I349" s="246"/>
      <c r="J349" s="246"/>
      <c r="K349" s="246"/>
      <c r="L349" s="246"/>
      <c r="M349" s="246"/>
      <c r="N349" s="246"/>
      <c r="O349" s="246"/>
      <c r="P349" s="282"/>
      <c r="Q349" s="283"/>
      <c r="R349" s="291"/>
      <c r="S349" s="297" t="str">
        <f t="shared" ca="1" si="33"/>
        <v xml:space="preserve"> </v>
      </c>
    </row>
    <row r="350" spans="1:19">
      <c r="A350" s="533"/>
      <c r="B350" s="268">
        <v>15</v>
      </c>
      <c r="C350" s="248">
        <f t="shared" si="34"/>
        <v>348</v>
      </c>
      <c r="D350" s="249">
        <f t="shared" ca="1" si="35"/>
        <v>27390</v>
      </c>
      <c r="E350" s="265">
        <f t="shared" ca="1" si="30"/>
        <v>0.97492791218202435</v>
      </c>
      <c r="F350" s="251">
        <f t="shared" ca="1" si="31"/>
        <v>0.97492791218177421</v>
      </c>
      <c r="G350" s="252">
        <f t="shared" ca="1" si="32"/>
        <v>-1.6074207936922491E-13</v>
      </c>
      <c r="H350" s="246"/>
      <c r="I350" s="246"/>
      <c r="J350" s="246"/>
      <c r="K350" s="246"/>
      <c r="L350" s="246"/>
      <c r="M350" s="246"/>
      <c r="N350" s="246"/>
      <c r="O350" s="246"/>
      <c r="P350" s="282"/>
      <c r="Q350" s="283"/>
      <c r="R350" s="291"/>
      <c r="S350" s="297" t="str">
        <f t="shared" ca="1" si="33"/>
        <v xml:space="preserve"> </v>
      </c>
    </row>
    <row r="351" spans="1:19">
      <c r="A351" s="533"/>
      <c r="B351" s="268">
        <v>16</v>
      </c>
      <c r="C351" s="248">
        <f t="shared" si="34"/>
        <v>349</v>
      </c>
      <c r="D351" s="249">
        <f t="shared" ca="1" si="35"/>
        <v>27391</v>
      </c>
      <c r="E351" s="265">
        <f t="shared" ca="1" si="30"/>
        <v>0.86602540378413773</v>
      </c>
      <c r="F351" s="251">
        <f t="shared" ca="1" si="31"/>
        <v>1</v>
      </c>
      <c r="G351" s="252">
        <f t="shared" ca="1" si="32"/>
        <v>0.1892512443608674</v>
      </c>
      <c r="H351" s="246"/>
      <c r="I351" s="246"/>
      <c r="J351" s="246"/>
      <c r="K351" s="246"/>
      <c r="L351" s="246"/>
      <c r="M351" s="246"/>
      <c r="N351" s="246"/>
      <c r="O351" s="246"/>
      <c r="P351" s="282"/>
      <c r="Q351" s="283"/>
      <c r="R351" s="291"/>
      <c r="S351" s="297" t="str">
        <f t="shared" ca="1" si="33"/>
        <v xml:space="preserve"> </v>
      </c>
    </row>
    <row r="352" spans="1:19">
      <c r="A352" s="533"/>
      <c r="B352" s="268">
        <v>17</v>
      </c>
      <c r="C352" s="248">
        <f t="shared" si="34"/>
        <v>350</v>
      </c>
      <c r="D352" s="249">
        <f t="shared" ca="1" si="35"/>
        <v>27392</v>
      </c>
      <c r="E352" s="265">
        <f t="shared" ca="1" si="30"/>
        <v>0.68017273777070919</v>
      </c>
      <c r="F352" s="251">
        <f t="shared" ca="1" si="31"/>
        <v>0.97492791218197816</v>
      </c>
      <c r="G352" s="252">
        <f t="shared" ca="1" si="32"/>
        <v>0.37166245566049688</v>
      </c>
      <c r="H352" s="246"/>
      <c r="I352" s="246"/>
      <c r="J352" s="246"/>
      <c r="K352" s="246"/>
      <c r="L352" s="246"/>
      <c r="M352" s="246"/>
      <c r="N352" s="246"/>
      <c r="O352" s="246"/>
      <c r="P352" s="282"/>
      <c r="Q352" s="283"/>
      <c r="R352" s="291"/>
      <c r="S352" s="297" t="str">
        <f t="shared" ca="1" si="33"/>
        <v xml:space="preserve"> </v>
      </c>
    </row>
    <row r="353" spans="1:19">
      <c r="A353" s="533"/>
      <c r="B353" s="268">
        <v>18</v>
      </c>
      <c r="C353" s="248">
        <f t="shared" si="34"/>
        <v>351</v>
      </c>
      <c r="D353" s="249">
        <f t="shared" ca="1" si="35"/>
        <v>27393</v>
      </c>
      <c r="E353" s="265">
        <f t="shared" ca="1" si="30"/>
        <v>0.4338837391175836</v>
      </c>
      <c r="F353" s="251">
        <f t="shared" ca="1" si="31"/>
        <v>0.90096886790282293</v>
      </c>
      <c r="G353" s="252">
        <f t="shared" ca="1" si="32"/>
        <v>0.54064081745474779</v>
      </c>
      <c r="H353" s="246"/>
      <c r="I353" s="246"/>
      <c r="J353" s="246"/>
      <c r="K353" s="246"/>
      <c r="L353" s="246"/>
      <c r="M353" s="246"/>
      <c r="N353" s="246"/>
      <c r="O353" s="246"/>
      <c r="P353" s="282"/>
      <c r="Q353" s="283"/>
      <c r="R353" s="291"/>
      <c r="S353" s="297" t="str">
        <f t="shared" ca="1" si="33"/>
        <v xml:space="preserve"> </v>
      </c>
    </row>
    <row r="354" spans="1:19">
      <c r="A354" s="533"/>
      <c r="B354" s="268">
        <v>19</v>
      </c>
      <c r="C354" s="248">
        <f t="shared" si="34"/>
        <v>352</v>
      </c>
      <c r="D354" s="249">
        <f t="shared" ca="1" si="35"/>
        <v>27394</v>
      </c>
      <c r="E354" s="265">
        <f t="shared" ca="1" si="30"/>
        <v>0.14904226617651392</v>
      </c>
      <c r="F354" s="251">
        <f t="shared" ca="1" si="31"/>
        <v>0.78183148246819034</v>
      </c>
      <c r="G354" s="252">
        <f t="shared" ca="1" si="32"/>
        <v>0.69007901148183415</v>
      </c>
      <c r="H354" s="246"/>
      <c r="I354" s="246"/>
      <c r="J354" s="246"/>
      <c r="K354" s="246"/>
      <c r="L354" s="246"/>
      <c r="M354" s="246"/>
      <c r="N354" s="246"/>
      <c r="O354" s="246"/>
      <c r="P354" s="282"/>
      <c r="Q354" s="283"/>
      <c r="R354" s="291"/>
      <c r="S354" s="297" t="str">
        <f t="shared" ca="1" si="33"/>
        <v xml:space="preserve"> </v>
      </c>
    </row>
    <row r="355" spans="1:19">
      <c r="A355" s="533"/>
      <c r="B355" s="268">
        <v>20</v>
      </c>
      <c r="C355" s="248">
        <f t="shared" si="34"/>
        <v>353</v>
      </c>
      <c r="D355" s="249">
        <f t="shared" ca="1" si="35"/>
        <v>27395</v>
      </c>
      <c r="E355" s="265">
        <f t="shared" ca="1" si="30"/>
        <v>-0.14904226617552346</v>
      </c>
      <c r="F355" s="251">
        <f t="shared" ca="1" si="31"/>
        <v>0.62348980185911951</v>
      </c>
      <c r="G355" s="252">
        <f t="shared" ca="1" si="32"/>
        <v>0.81457595204994881</v>
      </c>
      <c r="H355" s="246"/>
      <c r="I355" s="246"/>
      <c r="J355" s="246"/>
      <c r="K355" s="246"/>
      <c r="L355" s="246"/>
      <c r="M355" s="246"/>
      <c r="N355" s="246"/>
      <c r="O355" s="246"/>
      <c r="P355" s="282"/>
      <c r="Q355" s="283"/>
      <c r="R355" s="291"/>
      <c r="S355" s="297" t="str">
        <f t="shared" ca="1" si="33"/>
        <v xml:space="preserve"> </v>
      </c>
    </row>
    <row r="356" spans="1:19">
      <c r="A356" s="533"/>
      <c r="B356" s="268">
        <v>21</v>
      </c>
      <c r="C356" s="248">
        <f t="shared" si="34"/>
        <v>354</v>
      </c>
      <c r="D356" s="249">
        <f t="shared" ca="1" si="35"/>
        <v>27396</v>
      </c>
      <c r="E356" s="265">
        <f t="shared" ca="1" si="30"/>
        <v>-0.43388373911668116</v>
      </c>
      <c r="F356" s="251">
        <f t="shared" ca="1" si="31"/>
        <v>0.43388373911821587</v>
      </c>
      <c r="G356" s="252">
        <f t="shared" ca="1" si="32"/>
        <v>0.90963199535412365</v>
      </c>
      <c r="H356" s="246"/>
      <c r="I356" s="246"/>
      <c r="J356" s="246"/>
      <c r="K356" s="246"/>
      <c r="L356" s="246"/>
      <c r="M356" s="246"/>
      <c r="N356" s="246"/>
      <c r="O356" s="246"/>
      <c r="P356" s="282"/>
      <c r="Q356" s="283"/>
      <c r="R356" s="291"/>
      <c r="S356" s="297" t="str">
        <f t="shared" ca="1" si="33"/>
        <v xml:space="preserve"> </v>
      </c>
    </row>
    <row r="357" spans="1:19">
      <c r="A357" s="533"/>
      <c r="B357" s="268">
        <v>22</v>
      </c>
      <c r="C357" s="248">
        <f t="shared" si="34"/>
        <v>355</v>
      </c>
      <c r="D357" s="249">
        <f t="shared" ca="1" si="35"/>
        <v>27397</v>
      </c>
      <c r="E357" s="265">
        <f t="shared" ca="1" si="30"/>
        <v>-0.68017273777130838</v>
      </c>
      <c r="F357" s="251">
        <f t="shared" ca="1" si="31"/>
        <v>0.22252093395636977</v>
      </c>
      <c r="G357" s="252">
        <f t="shared" ca="1" si="32"/>
        <v>0.97181156832346538</v>
      </c>
      <c r="H357" s="246"/>
      <c r="I357" s="246"/>
      <c r="J357" s="246"/>
      <c r="K357" s="246"/>
      <c r="L357" s="246"/>
      <c r="M357" s="246"/>
      <c r="N357" s="246"/>
      <c r="O357" s="246"/>
      <c r="P357" s="282"/>
      <c r="Q357" s="283"/>
      <c r="R357" s="291"/>
      <c r="S357" s="297" t="str">
        <f t="shared" ca="1" si="33"/>
        <v xml:space="preserve"> </v>
      </c>
    </row>
    <row r="358" spans="1:19">
      <c r="A358" s="533"/>
      <c r="B358" s="268">
        <v>23</v>
      </c>
      <c r="C358" s="248">
        <f t="shared" si="34"/>
        <v>356</v>
      </c>
      <c r="D358" s="249">
        <f t="shared" ca="1" si="35"/>
        <v>27398</v>
      </c>
      <c r="E358" s="265">
        <f t="shared" ca="1" si="30"/>
        <v>-0.8660254037845464</v>
      </c>
      <c r="F358" s="251">
        <f t="shared" ca="1" si="31"/>
        <v>2.9305225780762445E-13</v>
      </c>
      <c r="G358" s="252">
        <f t="shared" ca="1" si="32"/>
        <v>0.9988673391829791</v>
      </c>
      <c r="H358" s="246"/>
      <c r="I358" s="246"/>
      <c r="J358" s="246"/>
      <c r="K358" s="246"/>
      <c r="L358" s="246"/>
      <c r="M358" s="246"/>
      <c r="N358" s="246"/>
      <c r="O358" s="246"/>
      <c r="P358" s="282"/>
      <c r="Q358" s="283"/>
      <c r="R358" s="291"/>
      <c r="S358" s="297" t="str">
        <f t="shared" ca="1" si="33"/>
        <v xml:space="preserve"> </v>
      </c>
    </row>
    <row r="359" spans="1:19">
      <c r="A359" s="533"/>
      <c r="B359" s="268">
        <v>24</v>
      </c>
      <c r="C359" s="248">
        <f t="shared" si="34"/>
        <v>357</v>
      </c>
      <c r="D359" s="249">
        <f t="shared" ca="1" si="35"/>
        <v>27399</v>
      </c>
      <c r="E359" s="265">
        <f t="shared" ca="1" si="30"/>
        <v>-0.97492791218180153</v>
      </c>
      <c r="F359" s="251">
        <f t="shared" ca="1" si="31"/>
        <v>-0.22252093395668504</v>
      </c>
      <c r="G359" s="252">
        <f t="shared" ca="1" si="32"/>
        <v>0.98982144188093002</v>
      </c>
      <c r="H359" s="246"/>
      <c r="I359" s="246"/>
      <c r="J359" s="246"/>
      <c r="K359" s="246"/>
      <c r="L359" s="246"/>
      <c r="M359" s="246"/>
      <c r="N359" s="246"/>
      <c r="O359" s="246"/>
      <c r="P359" s="282"/>
      <c r="Q359" s="283"/>
      <c r="R359" s="291"/>
      <c r="S359" s="297" t="str">
        <f t="shared" ca="1" si="33"/>
        <v xml:space="preserve"> </v>
      </c>
    </row>
    <row r="360" spans="1:19">
      <c r="A360" s="533"/>
      <c r="B360" s="268">
        <v>25</v>
      </c>
      <c r="C360" s="248">
        <f t="shared" si="34"/>
        <v>358</v>
      </c>
      <c r="D360" s="249">
        <f t="shared" ca="1" si="35"/>
        <v>27400</v>
      </c>
      <c r="E360" s="265">
        <f t="shared" ca="1" si="30"/>
        <v>-0.9972037971812111</v>
      </c>
      <c r="F360" s="251">
        <f t="shared" ca="1" si="31"/>
        <v>-0.43388373911768779</v>
      </c>
      <c r="G360" s="252">
        <f t="shared" ca="1" si="32"/>
        <v>0.94500081871475472</v>
      </c>
      <c r="H360" s="246"/>
      <c r="I360" s="246"/>
      <c r="J360" s="246"/>
      <c r="K360" s="246"/>
      <c r="L360" s="246"/>
      <c r="M360" s="246"/>
      <c r="N360" s="246"/>
      <c r="O360" s="246"/>
      <c r="P360" s="282"/>
      <c r="Q360" s="283"/>
      <c r="R360" s="291"/>
      <c r="S360" s="297" t="str">
        <f t="shared" ca="1" si="33"/>
        <v xml:space="preserve"> </v>
      </c>
    </row>
    <row r="361" spans="1:19">
      <c r="A361" s="533"/>
      <c r="B361" s="268">
        <v>26</v>
      </c>
      <c r="C361" s="248">
        <f t="shared" si="34"/>
        <v>359</v>
      </c>
      <c r="D361" s="249">
        <f t="shared" ca="1" si="35"/>
        <v>27401</v>
      </c>
      <c r="E361" s="265">
        <f t="shared" ca="1" si="30"/>
        <v>-0.93087374864447081</v>
      </c>
      <c r="F361" s="251">
        <f t="shared" ca="1" si="31"/>
        <v>-0.62348980185866132</v>
      </c>
      <c r="G361" s="252">
        <f t="shared" ca="1" si="32"/>
        <v>0.86602540378471204</v>
      </c>
      <c r="H361" s="246"/>
      <c r="I361" s="246"/>
      <c r="J361" s="246"/>
      <c r="K361" s="246"/>
      <c r="L361" s="246"/>
      <c r="M361" s="246"/>
      <c r="N361" s="246"/>
      <c r="O361" s="246"/>
      <c r="P361" s="282"/>
      <c r="Q361" s="283"/>
      <c r="R361" s="291"/>
      <c r="S361" s="297" t="str">
        <f t="shared" ca="1" si="33"/>
        <v xml:space="preserve"> </v>
      </c>
    </row>
    <row r="362" spans="1:19">
      <c r="A362" s="533"/>
      <c r="B362" s="268">
        <v>27</v>
      </c>
      <c r="C362" s="248">
        <f t="shared" si="34"/>
        <v>360</v>
      </c>
      <c r="D362" s="249">
        <f t="shared" ca="1" si="35"/>
        <v>27402</v>
      </c>
      <c r="E362" s="265">
        <f t="shared" ca="1" si="30"/>
        <v>-0.78183148246754686</v>
      </c>
      <c r="F362" s="251">
        <f t="shared" ca="1" si="31"/>
        <v>-0.78183148246839196</v>
      </c>
      <c r="G362" s="252">
        <f t="shared" ca="1" si="32"/>
        <v>0.7557495743542062</v>
      </c>
      <c r="H362" s="246"/>
      <c r="I362" s="246"/>
      <c r="J362" s="246"/>
      <c r="K362" s="246"/>
      <c r="L362" s="246"/>
      <c r="M362" s="246"/>
      <c r="N362" s="246"/>
      <c r="O362" s="246"/>
      <c r="P362" s="282"/>
      <c r="Q362" s="283"/>
      <c r="R362" s="291"/>
      <c r="S362" s="297" t="str">
        <f t="shared" ca="1" si="33"/>
        <v xml:space="preserve"> </v>
      </c>
    </row>
    <row r="363" spans="1:19">
      <c r="A363" s="533"/>
      <c r="B363" s="268">
        <v>28</v>
      </c>
      <c r="C363" s="248">
        <f t="shared" si="34"/>
        <v>361</v>
      </c>
      <c r="D363" s="249">
        <f t="shared" ca="1" si="35"/>
        <v>27403</v>
      </c>
      <c r="E363" s="265">
        <f t="shared" ca="1" si="30"/>
        <v>-0.56332005806324237</v>
      </c>
      <c r="F363" s="251">
        <f t="shared" ca="1" si="31"/>
        <v>-0.90096886790217401</v>
      </c>
      <c r="G363" s="252">
        <f t="shared" ca="1" si="32"/>
        <v>0.61815898622076537</v>
      </c>
      <c r="H363" s="246"/>
      <c r="I363" s="246"/>
      <c r="J363" s="246"/>
      <c r="K363" s="246"/>
      <c r="L363" s="246"/>
      <c r="M363" s="246"/>
      <c r="N363" s="246"/>
      <c r="O363" s="246"/>
      <c r="P363" s="282"/>
      <c r="Q363" s="283"/>
      <c r="R363" s="291"/>
      <c r="S363" s="297" t="str">
        <f t="shared" ca="1" si="33"/>
        <v xml:space="preserve"> </v>
      </c>
    </row>
    <row r="364" spans="1:19">
      <c r="A364" s="533"/>
      <c r="B364" s="268">
        <v>29</v>
      </c>
      <c r="C364" s="248">
        <f t="shared" si="34"/>
        <v>362</v>
      </c>
      <c r="D364" s="249">
        <f t="shared" ca="1" si="35"/>
        <v>27404</v>
      </c>
      <c r="E364" s="265">
        <f t="shared" ca="1" si="30"/>
        <v>-0.29475517441076615</v>
      </c>
      <c r="F364" s="251">
        <f t="shared" ca="1" si="31"/>
        <v>-0.97492791218164532</v>
      </c>
      <c r="G364" s="252">
        <f t="shared" ca="1" si="32"/>
        <v>0.45822652172784312</v>
      </c>
      <c r="H364" s="246"/>
      <c r="I364" s="246"/>
      <c r="J364" s="246"/>
      <c r="K364" s="246"/>
      <c r="L364" s="246"/>
      <c r="M364" s="246"/>
      <c r="N364" s="246"/>
      <c r="O364" s="246"/>
      <c r="P364" s="282"/>
      <c r="Q364" s="283"/>
      <c r="R364" s="291"/>
      <c r="S364" s="297" t="str">
        <f t="shared" ca="1" si="33"/>
        <v xml:space="preserve"> </v>
      </c>
    </row>
    <row r="365" spans="1:19">
      <c r="A365" s="533"/>
      <c r="B365" s="268">
        <v>30</v>
      </c>
      <c r="C365" s="248">
        <f t="shared" si="34"/>
        <v>363</v>
      </c>
      <c r="D365" s="249">
        <f t="shared" ca="1" si="35"/>
        <v>27405</v>
      </c>
      <c r="E365" s="265">
        <f t="shared" ca="1" si="30"/>
        <v>-1.7054977222152878E-13</v>
      </c>
      <c r="F365" s="251">
        <f t="shared" ca="1" si="31"/>
        <v>-1</v>
      </c>
      <c r="G365" s="252">
        <f t="shared" ca="1" si="32"/>
        <v>0.28173255684129583</v>
      </c>
      <c r="H365" s="246"/>
      <c r="I365" s="246"/>
      <c r="J365" s="246"/>
      <c r="K365" s="246"/>
      <c r="L365" s="246"/>
      <c r="M365" s="246"/>
      <c r="N365" s="246"/>
      <c r="O365" s="246"/>
      <c r="P365" s="282"/>
      <c r="Q365" s="283"/>
      <c r="R365" s="291"/>
      <c r="S365" s="297" t="str">
        <f t="shared" ca="1" si="33"/>
        <v xml:space="preserve"> </v>
      </c>
    </row>
    <row r="366" spans="1:19" ht="13.5" thickBot="1">
      <c r="A366" s="534"/>
      <c r="B366" s="269">
        <v>31</v>
      </c>
      <c r="C366" s="254">
        <f t="shared" si="34"/>
        <v>364</v>
      </c>
      <c r="D366" s="255">
        <f t="shared" ca="1" si="35"/>
        <v>27406</v>
      </c>
      <c r="E366" s="266">
        <f t="shared" ca="1" si="30"/>
        <v>0.29475517441044025</v>
      </c>
      <c r="F366" s="257">
        <f t="shared" ca="1" si="31"/>
        <v>-0.97492791218190467</v>
      </c>
      <c r="G366" s="258">
        <f t="shared" ca="1" si="32"/>
        <v>9.5056043304325655E-2</v>
      </c>
      <c r="H366" s="246"/>
      <c r="I366" s="246"/>
      <c r="J366" s="246"/>
      <c r="K366" s="246"/>
      <c r="L366" s="246"/>
      <c r="M366" s="246"/>
      <c r="N366" s="246"/>
      <c r="O366" s="246"/>
      <c r="P366" s="284"/>
      <c r="Q366" s="285"/>
      <c r="R366" s="292"/>
      <c r="S366" s="298" t="str">
        <f t="shared" ca="1" si="33"/>
        <v xml:space="preserve"> </v>
      </c>
    </row>
    <row r="367" spans="1:19">
      <c r="A367" s="246"/>
      <c r="B367" s="270"/>
      <c r="C367" s="271"/>
      <c r="D367" s="272"/>
      <c r="E367" s="246"/>
      <c r="F367" s="246"/>
      <c r="G367" s="246"/>
      <c r="H367" s="246"/>
      <c r="I367" s="246"/>
      <c r="J367" s="246"/>
      <c r="K367" s="246"/>
      <c r="L367" s="246"/>
      <c r="M367" s="246"/>
      <c r="N367" s="246"/>
      <c r="O367" s="246"/>
    </row>
    <row r="368" spans="1:19">
      <c r="A368" s="246"/>
      <c r="B368" s="270"/>
      <c r="C368" s="271"/>
      <c r="D368" s="271">
        <f ca="1">_xlfn.DAYS(TODAY(),Ki!C8)</f>
        <v>27328</v>
      </c>
      <c r="E368" s="272">
        <v>1</v>
      </c>
      <c r="F368" s="246">
        <v>1</v>
      </c>
      <c r="G368" s="246">
        <f ca="1">YEAR(TODAY())</f>
        <v>2022</v>
      </c>
      <c r="H368" s="273">
        <f ca="1">DATE(G368,F368,E368)</f>
        <v>44562</v>
      </c>
      <c r="I368" s="246">
        <f ca="1">_xlfn.DAYS(TODAY(),H368)</f>
        <v>286</v>
      </c>
      <c r="J368" s="246"/>
      <c r="K368" s="246"/>
      <c r="L368" s="246"/>
      <c r="M368" s="246"/>
      <c r="N368" s="246"/>
      <c r="O368" s="246"/>
    </row>
  </sheetData>
  <mergeCells count="13">
    <mergeCell ref="A336:A366"/>
    <mergeCell ref="H1:O1"/>
    <mergeCell ref="A183:A213"/>
    <mergeCell ref="A245:A274"/>
    <mergeCell ref="A214:A244"/>
    <mergeCell ref="A275:A305"/>
    <mergeCell ref="A306:A335"/>
    <mergeCell ref="A2:A32"/>
    <mergeCell ref="A33:A60"/>
    <mergeCell ref="A61:A91"/>
    <mergeCell ref="A92:A121"/>
    <mergeCell ref="A122:A152"/>
    <mergeCell ref="A153:A182"/>
  </mergeCells>
  <conditionalFormatting sqref="P2:P366">
    <cfRule type="expression" dxfId="26" priority="12" stopIfTrue="1">
      <formula>IF(E2&gt;0.6,TRUE,FALSE)</formula>
    </cfRule>
    <cfRule type="expression" dxfId="25" priority="13" stopIfTrue="1">
      <formula>IF(AND(E2&gt;0.2,E2&lt;=0.6),TRUE,FALSE)</formula>
    </cfRule>
    <cfRule type="expression" dxfId="24" priority="14" stopIfTrue="1">
      <formula>IF(AND(E2&gt;-0.2,E2&lt;=0.2),TRUE,FALSE)</formula>
    </cfRule>
    <cfRule type="expression" dxfId="23" priority="15" stopIfTrue="1">
      <formula>IF(AND(E2&gt;-0.6,E2&lt;=-0.2),TRUE,FALSE)</formula>
    </cfRule>
    <cfRule type="expression" dxfId="22" priority="16">
      <formula>IF(E2&lt;-0.6,TRUE,FALSE)</formula>
    </cfRule>
  </conditionalFormatting>
  <conditionalFormatting sqref="Q2:Q366">
    <cfRule type="expression" dxfId="21" priority="6" stopIfTrue="1">
      <formula>IF(F2&gt;0.6,TRUE,FALSE)</formula>
    </cfRule>
    <cfRule type="expression" dxfId="20" priority="7" stopIfTrue="1">
      <formula>IF(AND(F2&gt;=0.2,F2&lt;0.6),TRUE,FALSE)</formula>
    </cfRule>
    <cfRule type="expression" dxfId="19" priority="8" stopIfTrue="1">
      <formula>IF(AND(F2&gt;=-0.2,F2&lt;0.2),TRUE,FALSE)</formula>
    </cfRule>
    <cfRule type="expression" dxfId="18" priority="9" stopIfTrue="1">
      <formula>IF(AND(F2&gt;=-0.6,F2&lt;-0.2),TRUE,FALSE)</formula>
    </cfRule>
    <cfRule type="expression" dxfId="17" priority="11">
      <formula>IF(F2&lt;-0.6,TRUE,FALSE)</formula>
    </cfRule>
  </conditionalFormatting>
  <conditionalFormatting sqref="R2:R366">
    <cfRule type="expression" dxfId="16" priority="1" stopIfTrue="1">
      <formula>IF(G2&gt;0.6,TRUE,FALSE)</formula>
    </cfRule>
    <cfRule type="expression" dxfId="15" priority="2" stopIfTrue="1">
      <formula>IF(AND(G2&gt;=0.2,G2&lt;0.6),TRUE,FALSE)</formula>
    </cfRule>
    <cfRule type="expression" dxfId="14" priority="3" stopIfTrue="1">
      <formula>IF(AND(G2&gt;=-0.2,G2&lt;0.2),TRUE,FALSE)</formula>
    </cfRule>
    <cfRule type="expression" dxfId="13" priority="4" stopIfTrue="1">
      <formula>IF(AND(G2&gt;=-0.6,G2&lt;-0.2),TRUE,FALSE)</formula>
    </cfRule>
    <cfRule type="expression" dxfId="12" priority="5">
      <formula>IF(G2&lt;-0.6,TRUE,FALSE)</formula>
    </cfRule>
  </conditionalFormatting>
  <printOptions horizontalCentered="1" verticalCentered="1"/>
  <pageMargins left="0.27559055118110237" right="0.27559055118110237" top="0.49" bottom="0.5" header="0.31496062992125984" footer="0.31496062992125984"/>
  <pageSetup paperSize="119" scale="56" fitToHeight="6" orientation="landscape" horizontalDpi="1200" verticalDpi="1200" r:id="rId1"/>
  <headerFooter>
    <oddHeader xml:space="preserve">&amp;C
</oddHeader>
  </headerFooter>
  <rowBreaks count="5" manualBreakCount="5">
    <brk id="60" max="18" man="1"/>
    <brk id="121" max="18" man="1"/>
    <brk id="182" max="18" man="1"/>
    <brk id="244" max="18" man="1"/>
    <brk id="305"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4" workbookViewId="0"/>
  </sheetViews>
  <sheetFormatPr baseColWidth="10" defaultRowHeight="12.75"/>
  <cols>
    <col min="3" max="3" width="68.7109375" customWidth="1"/>
  </cols>
  <sheetData>
    <row r="1" spans="1:3" ht="127.5">
      <c r="A1" s="192">
        <v>1</v>
      </c>
      <c r="B1" s="192" t="s">
        <v>181</v>
      </c>
      <c r="C1" s="163" t="s">
        <v>191</v>
      </c>
    </row>
    <row r="2" spans="1:3" ht="127.5">
      <c r="A2" s="192">
        <v>2</v>
      </c>
      <c r="B2" s="192" t="s">
        <v>182</v>
      </c>
      <c r="C2" s="163" t="s">
        <v>183</v>
      </c>
    </row>
    <row r="3" spans="1:3" ht="76.5">
      <c r="A3" s="192">
        <v>3</v>
      </c>
      <c r="B3" s="192" t="s">
        <v>184</v>
      </c>
      <c r="C3" s="163" t="s">
        <v>185</v>
      </c>
    </row>
    <row r="4" spans="1:3" ht="76.5">
      <c r="A4" s="192">
        <v>4</v>
      </c>
      <c r="B4" s="192" t="s">
        <v>184</v>
      </c>
      <c r="C4" s="163" t="s">
        <v>267</v>
      </c>
    </row>
    <row r="5" spans="1:3" ht="102">
      <c r="A5" s="192">
        <v>5</v>
      </c>
      <c r="B5" s="192" t="s">
        <v>182</v>
      </c>
      <c r="C5" s="163" t="s">
        <v>268</v>
      </c>
    </row>
    <row r="6" spans="1:3" ht="102">
      <c r="A6" s="192">
        <v>6</v>
      </c>
      <c r="B6" s="192" t="s">
        <v>186</v>
      </c>
      <c r="C6" s="163" t="s">
        <v>187</v>
      </c>
    </row>
    <row r="7" spans="1:3" ht="76.5">
      <c r="A7" s="192">
        <v>7</v>
      </c>
      <c r="B7" s="192" t="s">
        <v>186</v>
      </c>
      <c r="C7" s="163" t="s">
        <v>188</v>
      </c>
    </row>
    <row r="8" spans="1:3" ht="63.75">
      <c r="A8" s="192">
        <v>8</v>
      </c>
      <c r="B8" s="192" t="s">
        <v>182</v>
      </c>
      <c r="C8" s="163" t="s">
        <v>269</v>
      </c>
    </row>
    <row r="9" spans="1:3" ht="102">
      <c r="A9" s="192">
        <v>9</v>
      </c>
      <c r="B9" s="192" t="s">
        <v>189</v>
      </c>
      <c r="C9" s="163" t="s">
        <v>190</v>
      </c>
    </row>
  </sheetData>
  <phoneticPr fontId="11"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E1" sqref="E1"/>
    </sheetView>
  </sheetViews>
  <sheetFormatPr baseColWidth="10" defaultRowHeight="12.75"/>
  <cols>
    <col min="1" max="2" width="11.42578125" style="18" customWidth="1"/>
    <col min="5" max="7" width="60.7109375" customWidth="1"/>
    <col min="8" max="8" width="15.5703125" style="172" bestFit="1" customWidth="1"/>
    <col min="9" max="10" width="60.7109375" customWidth="1"/>
  </cols>
  <sheetData>
    <row r="1" spans="1:10">
      <c r="A1" s="159">
        <f>+Ki!I19</f>
        <v>8</v>
      </c>
      <c r="B1" s="159">
        <f ca="1">+Ki!U19</f>
        <v>1</v>
      </c>
      <c r="C1" s="159">
        <f ca="1">+Ki!AG19</f>
        <v>4</v>
      </c>
      <c r="D1" s="159" t="s">
        <v>315</v>
      </c>
      <c r="E1" s="18">
        <f>IF(A1&gt;A2,VALUE(CONCATENATE(TEXT(A2,"##0"),TEXT(A1,"##0"))),VALUE(CONCATENATE(TEXT(A1,"##0"),TEXT(A2,"##0"))))</f>
        <v>48</v>
      </c>
      <c r="F1" s="18">
        <f ca="1">IF(B1&gt;B2,VALUE(CONCATENATE(TEXT(B2,"##0"),TEXT(B1,"##0"))),VALUE(CONCATENATE(TEXT(B1,"##0"),TEXT(B2,"##0"))))</f>
        <v>17</v>
      </c>
      <c r="G1" s="18">
        <f ca="1">IF(C1&gt;C2,VALUE(CONCATENATE(TEXT(C2,"##0"),TEXT(C1,"##0"))),VALUE(CONCATENATE(TEXT(C1,"##0"),TEXT(C2,"##0"))))</f>
        <v>46</v>
      </c>
      <c r="I1" s="18"/>
      <c r="J1" s="18"/>
    </row>
    <row r="2" spans="1:10">
      <c r="A2" s="160">
        <f>IF(Ki!AK7&lt;&gt;0,Ki!AK7,0)</f>
        <v>4</v>
      </c>
      <c r="B2" s="160">
        <f ca="1">IF(Ki!AK8&lt;&gt;0,Ki!AK8,0)</f>
        <v>7</v>
      </c>
      <c r="C2" s="160">
        <f ca="1">IF(Ki!AK9&lt;&gt;0,Ki!AK9,0)</f>
        <v>6</v>
      </c>
      <c r="D2" s="160" t="s">
        <v>316</v>
      </c>
      <c r="E2" s="18" t="str">
        <f>IF(A1&gt;A2,CONCATENATE(D2," ",D1),CONCATENATE(D1," ",D2))</f>
        <v>su pareja usted</v>
      </c>
      <c r="F2" s="18" t="str">
        <f ca="1">IF(B1&gt;B2,CONCATENATE(D2," ",D1),CONCATENATE(D1," ",D2))</f>
        <v>usted su pareja</v>
      </c>
      <c r="G2" s="18" t="str">
        <f ca="1">IF(C1&gt;C2,CONCATENATE(D2," ",D1),CONCATENATE(D1," ",D2))</f>
        <v>usted su pareja</v>
      </c>
      <c r="I2" s="18"/>
      <c r="J2" s="18"/>
    </row>
    <row r="3" spans="1:10" ht="65.099999999999994" customHeight="1">
      <c r="E3" s="163" t="str">
        <f>VLOOKUP(E1,$D$7:$G$49,2)</f>
        <v>En personalidad ambos pueden llevar una buena relación si su pareja es respetuoso de la libertad y el espacio de usted.</v>
      </c>
      <c r="F3" s="162" t="str">
        <f ca="1">VLOOKUP(F1,$D$7:$G$49,3)</f>
        <v>En el carácter se divierten se apoyan y unen la creatividad de usted con la elegancia de su pareja.</v>
      </c>
      <c r="G3" s="163" t="str">
        <f ca="1">VLOOKUP(G1,$D$7:$G$49,4)</f>
        <v>En el número energético, usted y su creatividad estimulan a su pareja, mientrás que su pareja, estabiliza a usted.</v>
      </c>
      <c r="H3" s="172" t="str">
        <f>VLOOKUP(E1,$D$7:$I$49,5)</f>
        <v>madera-tierra</v>
      </c>
      <c r="I3" s="163" t="str">
        <f>VLOOKUP(E1,$D$7:$I$49,6)</f>
        <v>La impulsividad de la madera puede destruir el romanticismo de la tierra. Se atraen con mucha fuerza, pero les cuesta trabajo comunicarse.</v>
      </c>
      <c r="J3" s="163"/>
    </row>
    <row r="6" spans="1:10" s="35" customFormat="1">
      <c r="E6" s="31" t="s">
        <v>312</v>
      </c>
      <c r="F6" s="31" t="s">
        <v>313</v>
      </c>
      <c r="G6" s="31" t="s">
        <v>314</v>
      </c>
      <c r="H6" s="172"/>
      <c r="I6" s="31"/>
      <c r="J6" s="31"/>
    </row>
    <row r="7" spans="1:10" s="35" customFormat="1" ht="242.25">
      <c r="D7" s="31">
        <v>0</v>
      </c>
      <c r="E7" s="168" t="s">
        <v>211</v>
      </c>
      <c r="F7" s="168" t="s">
        <v>226</v>
      </c>
      <c r="G7" s="168" t="s">
        <v>226</v>
      </c>
      <c r="H7" s="172"/>
      <c r="I7" s="174" t="s">
        <v>219</v>
      </c>
      <c r="J7" s="168" t="s">
        <v>257</v>
      </c>
    </row>
    <row r="8" spans="1:10" s="169" customFormat="1" ht="65.099999999999994" customHeight="1">
      <c r="A8" s="165"/>
      <c r="B8" s="165"/>
      <c r="C8" s="166"/>
      <c r="D8" s="167">
        <v>11</v>
      </c>
      <c r="E8" s="168" t="s">
        <v>265</v>
      </c>
      <c r="F8" s="168" t="s">
        <v>266</v>
      </c>
      <c r="G8" s="168" t="s">
        <v>262</v>
      </c>
      <c r="H8" s="173" t="s">
        <v>309</v>
      </c>
      <c r="I8" s="168" t="s">
        <v>307</v>
      </c>
      <c r="J8" s="168"/>
    </row>
    <row r="9" spans="1:10" s="169" customFormat="1" ht="65.099999999999994" customHeight="1">
      <c r="A9" s="170"/>
      <c r="B9" s="170"/>
      <c r="D9" s="167">
        <v>12</v>
      </c>
      <c r="E9" s="168" t="str">
        <f>CONCATENATE("En el número principal ",IF(A1=2,D1,D2)," representa a una persona que representa estabilidad y cariño a ",IF(A1=1,D1,D2),", lo ayuda a controlar sus impulsos y espíritu aventurero, sin embargo, si ",IF(A1=2,D1,D2)," se extralimita puede llegar a detener la naturaleza soñadora de ",IF(A1=1,D1,D2)," y provocarle sensación de frustración.")</f>
        <v>En el número principal su pareja representa a una persona que representa estabilidad y cariño a su pareja, lo ayuda a controlar sus impulsos y espíritu aventurero, sin embargo, si su pareja se extralimita puede llegar a detener la naturaleza soñadora de su pareja y provocarle sensación de frustración.</v>
      </c>
      <c r="F9" s="171" t="str">
        <f ca="1">CONCATENATE("Esta relación en carácter puede ser una buena relación ya que ",IF(B1=2,D1,D2)," provee ternura y cuidado y ",IF(B1=1,D1,D2)," provee el romanticismo y la aventura en la sexualidad.")</f>
        <v>Esta relación en carácter puede ser una buena relación ya que su pareja provee ternura y cuidado y usted provee el romanticismo y la aventura en la sexualidad.</v>
      </c>
      <c r="G9" s="171" t="str">
        <f ca="1">CONCATENATE("En el número energético significan una combinación opuesta, ya que ",IF(C1=2,D1,D2)," es terrenal, ",IF(C1=1,D1,D2)," es soñador y volátil.")</f>
        <v>En el número energético significan una combinación opuesta, ya que su pareja es terrenal, su pareja es soñador y volátil.</v>
      </c>
      <c r="H9" s="172" t="s">
        <v>310</v>
      </c>
      <c r="I9" s="171" t="s">
        <v>195</v>
      </c>
      <c r="J9" s="171"/>
    </row>
    <row r="10" spans="1:10" s="169" customFormat="1" ht="65.099999999999994" customHeight="1">
      <c r="A10" s="170"/>
      <c r="B10" s="170"/>
      <c r="D10" s="167">
        <v>13</v>
      </c>
      <c r="E10" s="168" t="str">
        <f>CONCATENATE("En personalidad ",IF(A1=1,D1,D2)," apoya e impulsa a ",IF(A1= 3,D1,D2)," , disfruta de su vitalidad, mientras ",IF(A1=3,D1,D2)," se nutre de la profundidad y objetividad de ",IF(A1=1,D1,D2),".")</f>
        <v>En personalidad su pareja apoya e impulsa a su pareja , disfruta de su vitalidad, mientras su pareja se nutre de la profundidad y objetividad de su pareja.</v>
      </c>
      <c r="F10" s="168" t="str">
        <f ca="1">CONCATENATE("En el carácter ",IF(B1= 3,D1,D2)," resalta sobre ",IF(B1=1,D1,D2)," ya que ",IF(B1=3,D1,D2)," es impulsivo y franco y ",IF(B1=3,D1,D2)," es reservado y prudente.")</f>
        <v>En el carácter su pareja resalta sobre usted ya que su pareja es impulsivo y franco y su pareja es reservado y prudente.</v>
      </c>
      <c r="G10" s="168" t="str">
        <f ca="1">CONCATENATE("En el número energético ",IF(C1=1,D1,D2)," impulsa a ",IF(C1=3,D1,D2)," a logra sus metas a través de su suavidad. Mientras que ",IF(C1=3,D1,D2)," inspira a ",IF(C1=1,D1,D2)," a crecer.")</f>
        <v>En el número energético su pareja impulsa a su pareja a logra sus metas a través de su suavidad. Mientras que su pareja inspira a su pareja a crecer.</v>
      </c>
      <c r="H10" s="172" t="s">
        <v>42</v>
      </c>
      <c r="I10" s="168" t="s">
        <v>308</v>
      </c>
      <c r="J10" s="168"/>
    </row>
    <row r="11" spans="1:10" s="169" customFormat="1" ht="65.099999999999994" customHeight="1">
      <c r="A11" s="170"/>
      <c r="B11" s="170"/>
      <c r="D11" s="167">
        <v>14</v>
      </c>
      <c r="E11" s="168" t="str">
        <f>CONCATENATE("En personalidad compaginan de maravilla. Son creativos y se impulsan, ",IF(A1=1,D1,D2)," aporta la aventura y ",IF(A1=4,D1,D2)," la creatividad.")</f>
        <v>En personalidad compaginan de maravilla. Son creativos y se impulsan, su pareja aporta la aventura y su pareja la creatividad.</v>
      </c>
      <c r="F11" s="168" t="str">
        <f ca="1">CONCATENATE("En el carácter, ",IF(B1=1,D1,D2)," se nutre de la actividad de ",IF(B1=4,D1,D2)," mientras que si ",IF(B1=4,D1,D2)," se estimula a través de la compañía de ",IF(B1=1,D1,D2),".")</f>
        <v>En el carácter, usted se nutre de la actividad de su pareja mientras que si su pareja se estimula a través de la compañía de usted.</v>
      </c>
      <c r="G11" s="168" t="str">
        <f ca="1">CONCATENATE("En el número energético, ",IF(C1=1,D1,D2)," impulsa y respalda a ",IF(C1=4,D1,D2)," para lograr sus objetivos, mientras que ",IF(C1=4,D1,D2)," ayuda a salir de la profundidad de sus pensamientos a ",IF(C1=1,D1,D2),", y lo impulsa a buscar el logro de sus sueños.")</f>
        <v>En el número energético, su pareja impulsa y respalda a usted para lograr sus objetivos, mientras que usted ayuda a salir de la profundidad de sus pensamientos a su pareja, y lo impulsa a buscar el logro de sus sueños.</v>
      </c>
      <c r="H11" s="172" t="s">
        <v>42</v>
      </c>
      <c r="I11" s="168" t="s">
        <v>308</v>
      </c>
      <c r="J11" s="168"/>
    </row>
    <row r="12" spans="1:10" s="169" customFormat="1" ht="65.099999999999994" customHeight="1">
      <c r="A12" s="170"/>
      <c r="B12" s="170"/>
      <c r="D12" s="167">
        <v>15</v>
      </c>
      <c r="E12" s="168" t="str">
        <f>CONCATENATE("En personalidad, ",IF(A1=1,D1,D2)," y ",IF(A1=5,D1,D2)," pueden funcionar si ",IF(A1=1,D1,D2)," deja de brillar y aprende a vivir con la popularidad de ",IF(A1=5,D1,D2),".")</f>
        <v>En personalidad, su pareja y su pareja pueden funcionar si su pareja deja de brillar y aprende a vivir con la popularidad de su pareja.</v>
      </c>
      <c r="F12" s="168" t="str">
        <f ca="1">CONCATENATE("En el carácter ",IF(B1=5,D1,D2)," puede ser dominante y  veces destructor con ",IF(B1=1,D1,D2),", quien debe recurrir a su paciencia y profundidad para defenderse del dominio de ",IF(B1=5,D1,D2),".")</f>
        <v>En el carácter su pareja puede ser dominante y  veces destructor con usted, quien debe recurrir a su paciencia y profundidad para defenderse del dominio de su pareja.</v>
      </c>
      <c r="G12" s="168" t="s">
        <v>263</v>
      </c>
      <c r="H12" s="172" t="s">
        <v>310</v>
      </c>
      <c r="I12" s="171" t="s">
        <v>195</v>
      </c>
      <c r="J12" s="168"/>
    </row>
    <row r="13" spans="1:10" s="169" customFormat="1" ht="65.099999999999994" customHeight="1">
      <c r="A13" s="170"/>
      <c r="B13" s="170"/>
      <c r="D13" s="167">
        <v>16</v>
      </c>
      <c r="E13" s="168" t="str">
        <f>CONCATENATE("La combinación de estas dos personalidades es buena, mientras ",IF(A1=6,D1,D2)," ayuda a ",IF(A1=1,D1,D2)," a destacar y brillar en el entorno social, ",IF(A1=1,D1,D2)," impulsará y nutrirá a ",IF(A1=6,D1,D2),".")</f>
        <v>La combinación de estas dos personalidades es buena, mientras su pareja ayuda a su pareja a destacar y brillar en el entorno social, su pareja impulsará y nutrirá a su pareja.</v>
      </c>
      <c r="F13" s="168" t="str">
        <f ca="1">CONCATENATE("En el carácter ",IF(B1=6,D1,D2)," es impulsivo y fuerte respecto a ",IF(B1=1,D1,D2),", sin embargo, ",IF(B1=1,D1,D2)," le provee sensatez, lógica y coherencia, apoyando en sus decisiones a ",IF(B1=6,D1,D2),".")</f>
        <v>En el carácter su pareja es impulsivo y fuerte respecto a usted, sin embargo, usted le provee sensatez, lógica y coherencia, apoyando en sus decisiones a su pareja.</v>
      </c>
      <c r="G13" s="168" t="str">
        <f ca="1">CONCATENATE("En el número energético ",IF(C1=1,D1,D2)," apoya a ",IF(C1=6,D1,D2)," a lograr sus metas, mientras que ",IF(C1=6,D1,D2)," provee el carácter e impulso a ",IF(C1=1,D1,D2)," para satisfacer sus deseos.")</f>
        <v>En el número energético su pareja apoya a su pareja a lograr sus metas, mientras que su pareja provee el carácter e impulso a su pareja para satisfacer sus deseos.</v>
      </c>
      <c r="H13" s="172" t="s">
        <v>43</v>
      </c>
      <c r="I13" s="168" t="s">
        <v>196</v>
      </c>
      <c r="J13" s="168"/>
    </row>
    <row r="14" spans="1:10" s="169" customFormat="1" ht="65.099999999999994" customHeight="1">
      <c r="A14" s="170"/>
      <c r="B14" s="170"/>
      <c r="D14" s="167">
        <v>17</v>
      </c>
      <c r="E14" s="168" t="str">
        <f>CONCATENATE("En personalidad ;",IF(A1=1,D1,D2)," se divierte con la alegría de ",IF(A1=7,D1,D2)," y su facilidad para manejar el dinero, ",IF(A1=7,D1,D2)," se nutre de ",IF(A1=1,D1,D2)," para adaptarse y sobre llevar los cambios.")</f>
        <v>En personalidad ;su pareja se divierte con la alegría de su pareja y su facilidad para manejar el dinero, su pareja se nutre de su pareja para adaptarse y sobre llevar los cambios.</v>
      </c>
      <c r="F14" s="168" t="str">
        <f ca="1">CONCATENATE("En el carácter se divierten se apoyan y unen la creatividad de ",IF(B1=1,D1,D2)," con la elegancia de ",IF(B1=7,D1,D2),".")</f>
        <v>En el carácter se divierten se apoyan y unen la creatividad de usted con la elegancia de su pareja.</v>
      </c>
      <c r="G14" s="168" t="str">
        <f ca="1">CONCATENATE("En número energético, ",IF(C1= 7,D1,D2)," impulsa a ",IF(C1=1,D1,D2)," a logra sus metas y ",IF(C1=1,D1,D2)," inspira a ",IF(C1=7,D1,D2)," a disfrutar sus logros.")</f>
        <v>En número energético, su pareja impulsa a su pareja a logra sus metas y su pareja inspira a su pareja a disfrutar sus logros.</v>
      </c>
      <c r="H14" s="172" t="s">
        <v>43</v>
      </c>
      <c r="I14" s="168" t="s">
        <v>196</v>
      </c>
      <c r="J14" s="168"/>
    </row>
    <row r="15" spans="1:10" s="169" customFormat="1" ht="65.099999999999994" customHeight="1">
      <c r="A15" s="170"/>
      <c r="B15" s="170"/>
      <c r="D15" s="167">
        <v>18</v>
      </c>
      <c r="E15" s="168" t="str">
        <f>CONCATENATE("En personalidad ",IF(A1=1,D1,D2)," opaca a ",IF(A1= 8,D1,D2),", sin embargo ",IF(A1=8,D1,D2)," puede apoyarse en la sociabilidad de ",IF(A1=1,D1,D2)," para mejorar la primera impresión que da.")</f>
        <v>En personalidad su pareja opaca a usted, sin embargo usted puede apoyarse en la sociabilidad de su pareja para mejorar la primera impresión que da.</v>
      </c>
      <c r="F15" s="168" t="str">
        <f ca="1">CONCATENATE("En el carácter ",IF(B1=8,D1,D2)," controla y domina a ",IF(B1=1,D1,D2),", si aprenden a ceder y a dialogar pueden ser una buena mancuerna.")</f>
        <v>En el carácter su pareja controla y domina a usted, si aprenden a ceder y a dialogar pueden ser una buena mancuerna.</v>
      </c>
      <c r="G15" s="168" t="str">
        <f ca="1">CONCATENATE("En el número energético ",IF(C1=8,D1,D2)," domina totalmente a ",IF(C1=1,D1,D2),", impidiéndole en algunos casos lograr sus objetivos y perseguir sus sueños.")</f>
        <v>En el número energético su pareja domina totalmente a su pareja, impidiéndole en algunos casos lograr sus objetivos y perseguir sus sueños.</v>
      </c>
      <c r="H15" s="172" t="s">
        <v>310</v>
      </c>
      <c r="I15" s="171" t="s">
        <v>195</v>
      </c>
      <c r="J15" s="168"/>
    </row>
    <row r="16" spans="1:10" s="169" customFormat="1" ht="65.099999999999994" customHeight="1">
      <c r="A16" s="170"/>
      <c r="B16" s="170"/>
      <c r="D16" s="167">
        <v>19</v>
      </c>
      <c r="E16" s="168" t="str">
        <f>CONCATENATE("En personalidad nos habla de dinamismo, ",IF(A1=1,D1,D2)," provee tranquilidad y calma a ",IF(A1=9,D1,D2),", mientras que ",IF(A1=9,D1,D2)," imprime el toque de diversión y fiesta a la relación.")</f>
        <v>En personalidad nos habla de dinamismo, su pareja provee tranquilidad y calma a su pareja, mientras que su pareja imprime el toque de diversión y fiesta a la relación.</v>
      </c>
      <c r="F16" s="168" t="str">
        <f ca="1">CONCATENATE("En el carácter, ",IF(B1=1,D1,D2)," domina y apaga a ",IF(B1=9,D1,D2),"; ",IF(B1=1,D1,D2)," debe ser prudente y cuidadoso o puede llegar a ofender y lastimar mucho a ",IF(B1=9,D1,D2),".")</f>
        <v>En el carácter, usted domina y apaga a su pareja; usted debe ser prudente y cuidadoso o puede llegar a ofender y lastimar mucho a su pareja.</v>
      </c>
      <c r="G16" s="168" t="str">
        <f ca="1">CONCATENATE("En el número energético ",IF(C1=1,D1,D2)," limita a ",IF(C1=9,D1,D2)," para lograr sus metas, si lo enfocan de manera positiva, ",IF(C1=1,D1,D2)," provee la objetividad a ",IF(C1=9,D1,D2),", si ",IF(C1=1,D1,D2)," controla su exceso de orgullo, ",IF(C1=9,D1,D2)," da el toque de emoción y alegría a ",IF(C1=1,D1,D2)," para alcanzar sus ideales.")</f>
        <v>En el número energético su pareja limita a su pareja para lograr sus metas, si lo enfocan de manera positiva, su pareja provee la objetividad a su pareja, si su pareja controla su exceso de orgullo, su pareja da el toque de emoción y alegría a su pareja para alcanzar sus ideales.</v>
      </c>
      <c r="H16" s="172" t="s">
        <v>44</v>
      </c>
      <c r="I16" s="168" t="s">
        <v>194</v>
      </c>
      <c r="J16" s="168"/>
    </row>
    <row r="17" spans="4:10" ht="65.099999999999994" customHeight="1">
      <c r="D17" s="161">
        <v>22</v>
      </c>
      <c r="E17" s="164" t="s">
        <v>327</v>
      </c>
      <c r="F17" s="164" t="s">
        <v>302</v>
      </c>
      <c r="G17" s="164" t="s">
        <v>303</v>
      </c>
      <c r="H17" s="172" t="s">
        <v>45</v>
      </c>
      <c r="I17" s="164" t="s">
        <v>38</v>
      </c>
      <c r="J17" s="164"/>
    </row>
    <row r="18" spans="4:10" ht="65.099999999999994" customHeight="1">
      <c r="D18" s="161">
        <v>23</v>
      </c>
      <c r="E18" s="164" t="str">
        <f>CONCATENATE("En personalidad, ",IF(A1=2,D1,D2)," imprimirá el cariño y la imagen de soliradidad, mientras que ",IF(A1=3,D1,D2)," provee alegría y frescura, así como creatividad a la relación.")</f>
        <v>En personalidad, su pareja imprimirá el cariño y la imagen de soliradidad, mientras que su pareja provee alegría y frescura, así como creatividad a la relación.</v>
      </c>
      <c r="F18" s="164" t="str">
        <f ca="1">CONCATENATE("En el carácter ",IF(B1=3,D1,D2)," controla mucho la timidéz de ",IF(B1=2,D1,D2)," y puede llegar a ser muy dominante, ",IF(B1=2,D1,D2)," se siente inspirado por el dinamismo de ",IF(B1=3,D1,D2))</f>
        <v>En el carácter su pareja controla mucho la timidéz de su pareja y puede llegar a ser muy dominante, su pareja se siente inspirado por el dinamismo de su pareja</v>
      </c>
      <c r="G18" s="164" t="str">
        <f ca="1">CONCATENATE("En el número energético, ",IF(C1=3,D1,D2)," siempre está creando nuevas ideas, mientras que ",IF(C1=2,D1,D2)," aporta la visión práctica, ambos pueden consolidar grandes empresas.")</f>
        <v>En el número energético, su pareja siempre está creando nuevas ideas, mientras que su pareja aporta la visión práctica, ambos pueden consolidar grandes empresas.</v>
      </c>
      <c r="H18" s="172" t="s">
        <v>46</v>
      </c>
      <c r="I18" s="164" t="s">
        <v>33</v>
      </c>
      <c r="J18" s="164"/>
    </row>
    <row r="19" spans="4:10" ht="65.099999999999994" customHeight="1">
      <c r="D19" s="161">
        <v>24</v>
      </c>
      <c r="E19" s="164" t="s">
        <v>133</v>
      </c>
      <c r="F19" s="164" t="str">
        <f ca="1">CONCATENATE("En carácter, dificilmente discutirán, si esto sucede, ",IF(B1=4,D1,D2)," dominará con suavidad la situación. Sin embargo ambos prefieren dialogar y solucionar los conflictos con amor.")</f>
        <v>En carácter, dificilmente discutirán, si esto sucede, su pareja dominará con suavidad la situación. Sin embargo ambos prefieren dialogar y solucionar los conflictos con amor.</v>
      </c>
      <c r="G19" s="164" t="s">
        <v>134</v>
      </c>
      <c r="H19" s="172" t="s">
        <v>46</v>
      </c>
      <c r="I19" s="164" t="s">
        <v>33</v>
      </c>
      <c r="J19" s="164"/>
    </row>
    <row r="20" spans="4:10" ht="65.099999999999994" customHeight="1">
      <c r="D20" s="161">
        <v>25</v>
      </c>
      <c r="E20" s="164" t="str">
        <f>CONCATENATE("En personalidad, ",IF(A1=2,D1,D2)," da estabilidad a la inquietud de ",IF(A1=5,D1,D2),", mientras que ",IF(A1=5,D1,D2)," otorga a ",IF(A1=2,D1,D2)," la facilidad de relacionarse socialmente.")</f>
        <v>En personalidad, su pareja da estabilidad a la inquietud de su pareja, mientras que su pareja otorga a su pareja la facilidad de relacionarse socialmente.</v>
      </c>
      <c r="F20" s="164" t="str">
        <f ca="1">CONCATENATE("En carácter, ",IF(B1=5,D1,D2)," disfruta de las atenciones y cuidados que ",IF(B1=2,D1,D2)," le brinda, mientras que ",IF(B1=2,D1,D2)," se contagia de la alegría y socialidad de ",IF(B1=5,D1,D2),".")</f>
        <v>En carácter, su pareja disfruta de las atenciones y cuidados que su pareja le brinda, mientras que su pareja se contagia de la alegría y socialidad de su pareja.</v>
      </c>
      <c r="G20" s="164" t="str">
        <f ca="1">CONCATENATE("En el número energético ambos son prácticos y dedicados, ",IF(C1=5,D1,D2)," es bueno para crear proyectos, mientras que ",IF(C1=2,D1,D2)," tiene la habilidad de desarrollarlos.")</f>
        <v>En el número energético ambos son prácticos y dedicados, su pareja es bueno para crear proyectos, mientras que su pareja tiene la habilidad de desarrollarlos.</v>
      </c>
      <c r="H20" s="172" t="s">
        <v>45</v>
      </c>
      <c r="I20" s="164" t="s">
        <v>38</v>
      </c>
      <c r="J20" s="164"/>
    </row>
    <row r="21" spans="4:10" ht="65.099999999999994" customHeight="1">
      <c r="D21" s="161">
        <v>26</v>
      </c>
      <c r="E21" s="164" t="s">
        <v>135</v>
      </c>
      <c r="F21" s="164" t="str">
        <f ca="1">CONCATENATE("En carácter, ",IF(B1=2,D1,D2)," impulsa y apoya a ",IF(B1=6,D1,D2)," para aterrizar sus proyectos, mientras que ",IF(B1=6,D1,D2)," imprime seguridad y solidez al carácter de ",IF(B1=2,D1,D2),".")</f>
        <v>En carácter, su pareja impulsa y apoya a su pareja para aterrizar sus proyectos, mientras que su pareja imprime seguridad y solidez al carácter de su pareja.</v>
      </c>
      <c r="G21" s="164" t="s">
        <v>136</v>
      </c>
      <c r="H21" s="172" t="s">
        <v>47</v>
      </c>
      <c r="I21" s="164" t="s">
        <v>39</v>
      </c>
      <c r="J21" s="164"/>
    </row>
    <row r="22" spans="4:10" ht="65.099999999999994" customHeight="1">
      <c r="D22" s="161">
        <v>27</v>
      </c>
      <c r="E22" s="164" t="str">
        <f>CONCATENATE("En personalidad, ",IF(A1=7,D1,D2)," disfruta de los cuidados y cariños de ",IF(A1=2,D1,D2)," mientras que ",IF(A1=2,D1,D2)," se divierte con la naturaleza suave de ",IF(A1=7,D1,D2),".")</f>
        <v>En personalidad, su pareja disfruta de los cuidados y cariños de su pareja mientras que su pareja se divierte con la naturaleza suave de su pareja.</v>
      </c>
      <c r="F22" s="164" t="s">
        <v>137</v>
      </c>
      <c r="G22" s="164" t="str">
        <f ca="1">CONCATENATE("En número energético, ",IF(C1=7,D1,D2)," pone cratividad al logro de sus planes, mientras que ",IF(C1=2,D1,D2)," imprime el orden y el cuidado de los detalles.")</f>
        <v>En número energético, su pareja pone cratividad al logro de sus planes, mientras que su pareja imprime el orden y el cuidado de los detalles.</v>
      </c>
      <c r="H22" s="172" t="s">
        <v>47</v>
      </c>
      <c r="I22" s="164" t="s">
        <v>39</v>
      </c>
      <c r="J22" s="164"/>
    </row>
    <row r="23" spans="4:10" ht="65.099999999999994" customHeight="1">
      <c r="D23" s="161">
        <v>28</v>
      </c>
      <c r="E23" s="164" t="s">
        <v>180</v>
      </c>
      <c r="F23" s="164" t="str">
        <f ca="1">CONCATENATE("En personalidad ambos se divierten y apoyan, ",IF(B1=8,D1,D2)," es divertido y juguetón, mientras que ",IF(B1=2,D1,D2)," calma sus impulsos por medio de su suavidad.")</f>
        <v>En personalidad ambos se divierten y apoyan, su pareja es divertido y juguetón, mientras que su pareja calma sus impulsos por medio de su suavidad.</v>
      </c>
      <c r="G23" s="164" t="str">
        <f ca="1">CONCATENATE("En el número energético, ",IF(C1=8,D1,D2)," toma la ventaja y el liderazgo mientras que ",IF(C1=2,D1,D2)," lo imita y lo sigue.")</f>
        <v>En el número energético, su pareja toma la ventaja y el liderazgo mientras que su pareja lo imita y lo sigue.</v>
      </c>
      <c r="H23" s="172" t="s">
        <v>45</v>
      </c>
      <c r="I23" s="164" t="s">
        <v>38</v>
      </c>
      <c r="J23" s="164"/>
    </row>
    <row r="24" spans="4:10" ht="65.099999999999994" customHeight="1">
      <c r="D24" s="161">
        <v>29</v>
      </c>
      <c r="E24" s="164" t="str">
        <f>CONCATENATE("En personalidad ",IF(A1=9,D1,D2)," representa la alegría y la espontaneidad de la relación, mientras que ",IF(A1=2,D1,D2)," representa la estabilidad y la sensatez.")</f>
        <v>En personalidad su pareja representa la alegría y la espontaneidad de la relación, mientras que su pareja representa la estabilidad y la sensatez.</v>
      </c>
      <c r="F24" s="164" t="str">
        <f ca="1">CONCATENATE("En el carácter ",IF(B1=9,D1,D2)," puede ser explosivo y agresivo, sin embargo ",IF(B1=2,D1,D2)," cambia sus impulsos por medio de su suavidad")</f>
        <v>En el carácter su pareja puede ser explosivo y agresivo, sin embargo su pareja cambia sus impulsos por medio de su suavidad</v>
      </c>
      <c r="G24" s="164" t="str">
        <f ca="1">CONCATENATE("En el número energético, ",IF(C1=2,D1,D2)," genera la estabilidad y el equilibrio que ",IF(C1=9,D1,D2)," necesita para controlar sus impulsos.")</f>
        <v>En el número energético, su pareja genera la estabilidad y el equilibrio que su pareja necesita para controlar sus impulsos.</v>
      </c>
      <c r="H24" s="172" t="s">
        <v>48</v>
      </c>
      <c r="I24" s="164" t="s">
        <v>36</v>
      </c>
      <c r="J24" s="164"/>
    </row>
    <row r="25" spans="4:10" ht="65.099999999999994" customHeight="1">
      <c r="D25" s="161">
        <v>33</v>
      </c>
      <c r="E25" s="164" t="s">
        <v>138</v>
      </c>
      <c r="F25" s="164" t="s">
        <v>304</v>
      </c>
      <c r="G25" s="164" t="s">
        <v>139</v>
      </c>
      <c r="H25" s="172" t="s">
        <v>49</v>
      </c>
      <c r="I25" s="164" t="s">
        <v>32</v>
      </c>
      <c r="J25" s="164"/>
    </row>
    <row r="26" spans="4:10" ht="65.099999999999994" customHeight="1">
      <c r="D26" s="161">
        <v>34</v>
      </c>
      <c r="E26" s="164" t="str">
        <f>CONCATENATE("En personalidad, ",IF(A1=3,D1,D2)," es entusiasta y positivo, mientras que ",IF(A1=4,D1,D2)," es romántico y soñador. Aman y comparten la acción y el deporte.")</f>
        <v>En personalidad, su pareja es entusiasta y positivo, mientras que su pareja es romántico y soñador. Aman y comparten la acción y el deporte.</v>
      </c>
      <c r="F26" s="164" t="str">
        <f ca="1">CONCATENATE("En carácter, ",IF(B1=3,D1,D2)," apoya e impulsa a ",IF(B1=4,D1,D2)," con su dinamismo, entusiasmo y positivismo, ",IF(B1=4,D1,D2)," fascina a ",IF(B1=3,D1,D2)," por su imaginación y creatividad.")</f>
        <v>En carácter, su pareja apoya e impulsa a su pareja con su dinamismo, entusiasmo y positivismo, su pareja fascina a su pareja por su imaginación y creatividad.</v>
      </c>
      <c r="G26" s="164" t="s">
        <v>12</v>
      </c>
      <c r="H26" s="172" t="s">
        <v>49</v>
      </c>
      <c r="I26" s="164" t="s">
        <v>32</v>
      </c>
      <c r="J26" s="164"/>
    </row>
    <row r="27" spans="4:10" ht="65.099999999999994" customHeight="1">
      <c r="D27" s="161">
        <v>35</v>
      </c>
      <c r="E27" s="164" t="str">
        <f>CONCATENATE("En personalidad, ",IF(A1=3,D1,D2)," aporta la ambición y la creatividad, mientras que ",IF(A1=5,D1,D2)," apoya la relación con coherencia y fuerza.")</f>
        <v>En personalidad, su pareja aporta la ambición y la creatividad, mientras que su pareja apoya la relación con coherencia y fuerza.</v>
      </c>
      <c r="F27" s="164" t="str">
        <f ca="1">CONCATENATE("En carácter, ",IF(B1=5,D1,D2)," domina a ",IF(B1=3,D1,D2),", si logran embonar y solucionar sus conflictos a través del dialogo y la comunicación forman una combinación muy poderosa.")</f>
        <v>En carácter, su pareja domina a su pareja, si logran embonar y solucionar sus conflictos a través del dialogo y la comunicación forman una combinación muy poderosa.</v>
      </c>
      <c r="G27" s="164" t="s">
        <v>13</v>
      </c>
      <c r="H27" s="172" t="s">
        <v>50</v>
      </c>
      <c r="I27" s="164" t="s">
        <v>33</v>
      </c>
      <c r="J27" s="164"/>
    </row>
    <row r="28" spans="4:10" ht="83.25" customHeight="1">
      <c r="D28" s="161">
        <v>36</v>
      </c>
      <c r="E28" s="164" t="str">
        <f>CONCATENATE("En personalidad, ",IF(A1=3,D1,D2)," es inmaduro y ",IF(A1=6,D1,D2)," lo contrario, son una combinación difícil.")</f>
        <v>En personalidad, su pareja es inmaduro y su pareja lo contrario, son una combinación difícil.</v>
      </c>
      <c r="F28" s="164" t="str">
        <f ca="1">CONCATENATE("En carácter, ",IF(B1=6,D1,D2)," puede dominar y controlar a ",IF(B1=3,D1,D2)," en exceso y provocar que se sienta limitado y detenido.")</f>
        <v>En carácter, su pareja puede dominar y controlar a su pareja en exceso y provocar que se sienta limitado y detenido.</v>
      </c>
      <c r="G28" s="164" t="str">
        <f ca="1">CONCATENATE("En número energético son autosuficientes, ",IF(C1=3,D1,D2)," es impulsivo, ",IF(C1=6,D1,D2)," es metódico. Necesitan mucha paciencia y amor el uno hacia el otro.")</f>
        <v>En número energético son autosuficientes, su pareja es impulsivo, su pareja es metódico. Necesitan mucha paciencia y amor el uno hacia el otro.</v>
      </c>
      <c r="H28" s="172" t="s">
        <v>51</v>
      </c>
      <c r="I28" s="306" t="s">
        <v>522</v>
      </c>
      <c r="J28" s="164"/>
    </row>
    <row r="29" spans="4:10" ht="78" customHeight="1">
      <c r="D29" s="161">
        <v>37</v>
      </c>
      <c r="E29" s="164" t="str">
        <f>CONCATENATE("En personalidad, la actividad de ",IF(A1=3,D1,D2)," estimula a ",IF(A1=7,D1,D2),", mientras que ",IF(A1=7,D1,D2)," enseña a ",IF(A1=3,D1,D2)," cómo divertirse y disfrutar la vida.")</f>
        <v>En personalidad, la actividad de su pareja estimula a su pareja, mientras que su pareja enseña a su pareja cómo divertirse y disfrutar la vida.</v>
      </c>
      <c r="F29" s="164" t="str">
        <f ca="1">CONCATENATE("En carácter pueden llevar una relación superficial, ya que en profundidad ",IF(B1=7,D1,D2)," domina a ",IF(B1=3,D1,D2),", con suavidad, pero puede hacerlo sentir limitado.")</f>
        <v>En carácter pueden llevar una relación superficial, ya que en profundidad su pareja domina a su pareja, con suavidad, pero puede hacerlo sentir limitado.</v>
      </c>
      <c r="G29" s="164" t="str">
        <f ca="1">CONCATENATE("En número energético, ",IF(C1=7,D1,D2)," apoya a ;",IF(C1=3,D1,D2)," para realizar sus expectativas.")</f>
        <v>En número energético, su pareja apoya a ;su pareja para realizar sus expectativas.</v>
      </c>
      <c r="H29" s="172" t="s">
        <v>51</v>
      </c>
      <c r="I29" s="306" t="s">
        <v>522</v>
      </c>
      <c r="J29" s="164"/>
    </row>
    <row r="30" spans="4:10" ht="65.099999999999994" customHeight="1">
      <c r="D30" s="161">
        <v>38</v>
      </c>
      <c r="E30" s="164" t="s">
        <v>14</v>
      </c>
      <c r="F30" s="164" t="s">
        <v>15</v>
      </c>
      <c r="G30" s="164" t="s">
        <v>16</v>
      </c>
      <c r="H30" s="172" t="s">
        <v>50</v>
      </c>
      <c r="I30" s="164" t="s">
        <v>33</v>
      </c>
      <c r="J30" s="164"/>
    </row>
    <row r="31" spans="4:10" ht="65.099999999999994" customHeight="1">
      <c r="D31" s="161">
        <v>39</v>
      </c>
      <c r="E31" s="164" t="str">
        <f>CONCATENATE("En personalidad son una combinación explosiva ",IF(A1=3,D1,D2)," es acelerado e impulsivo, ",IF(A1=9,D1,D2)," es vanidoso y superficial. Pueden cometer innumerables errores juntos.")</f>
        <v>En personalidad son una combinación explosiva su pareja es acelerado e impulsivo, su pareja es vanidoso y superficial. Pueden cometer innumerables errores juntos.</v>
      </c>
      <c r="F31" s="164" t="s">
        <v>17</v>
      </c>
      <c r="G31" s="164" t="str">
        <f ca="1">CONCATENATE("En número energético son un excelente equipo uniendo la creatividad de ",IF(C1=3,D1,D2)," con la habilidad de comunicación de ",IF(C1=9,D1,D2),".")</f>
        <v>En número energético son un excelente equipo uniendo la creatividad de su pareja con la habilidad de comunicación de su pareja.</v>
      </c>
      <c r="H31" s="172" t="s">
        <v>52</v>
      </c>
      <c r="I31" s="164" t="s">
        <v>34</v>
      </c>
      <c r="J31" s="164"/>
    </row>
    <row r="32" spans="4:10" ht="65.099999999999994" customHeight="1">
      <c r="D32" s="161">
        <v>44</v>
      </c>
      <c r="E32" s="164" t="s">
        <v>206</v>
      </c>
      <c r="F32" s="164" t="s">
        <v>207</v>
      </c>
      <c r="G32" s="164" t="s">
        <v>208</v>
      </c>
      <c r="H32" s="172" t="s">
        <v>49</v>
      </c>
      <c r="I32" s="164" t="s">
        <v>32</v>
      </c>
      <c r="J32" s="164"/>
    </row>
    <row r="33" spans="4:10" ht="65.099999999999994" customHeight="1">
      <c r="D33" s="161">
        <v>45</v>
      </c>
      <c r="E33" s="164" t="s">
        <v>210</v>
      </c>
      <c r="F33" s="164" t="str">
        <f ca="1">CONCATENATE("En el carácter ",IF(B1=4,D1,D2)," domina a ",IF(B1=5,D1,D2)," , aspecto que no le gusta en lo más mínimo; deben recurrir al dialogo y a la comunicación,así como evitar discusiones y guerra de vanidad y ego.")</f>
        <v>En el carácter su pareja domina a su pareja , aspecto que no le gusta en lo más mínimo; deben recurrir al dialogo y a la comunicación,así como evitar discusiones y guerra de vanidad y ego.</v>
      </c>
      <c r="G33" s="164" t="str">
        <f ca="1">CONCATENATE("En el número energético ",IF(C1=4,D1,D2)," inspira a ",IF(C1=5,D1,D2)," con su frescura y audacia, mientras que ",IF(C1=5,D1,D2)," impresiona a ",IF(C1=4,D1,D2)," con su habilidad para resolver cualquier problema y situación")</f>
        <v>En el número energético usted inspira a su pareja con su frescura y audacia, mientras que su pareja impresiona a usted con su habilidad para resolver cualquier problema y situación</v>
      </c>
      <c r="H33" s="172" t="s">
        <v>50</v>
      </c>
      <c r="I33" s="164" t="s">
        <v>33</v>
      </c>
      <c r="J33" s="164"/>
    </row>
    <row r="34" spans="4:10" ht="78" customHeight="1">
      <c r="D34" s="161">
        <v>46</v>
      </c>
      <c r="E34" s="164" t="str">
        <f>CONCATENATE("En personalidad ",IF(A1=4,D1,D2)," respeta la seriedad de ",IF(A1=6,D1,D2)," quien valora la alegría de ",IF(A1=4,D1,D2),".")</f>
        <v>En personalidad su pareja respeta la seriedad de su pareja quien valora la alegría de su pareja.</v>
      </c>
      <c r="F34" s="164" t="str">
        <f ca="1">CONCATENATE("En carácter se atraen por ser opuestos, y esa atracción se manifiesta en admiración, sin embargo, ",IF(B1=6,D1,D2)," puede ser destructivo para ",IF(B1=4,D1,D2)," ante situaciones de tensión.")</f>
        <v>En carácter se atraen por ser opuestos, y esa atracción se manifiesta en admiración, sin embargo, su pareja puede ser destructivo para su pareja ante situaciones de tensión.</v>
      </c>
      <c r="G34" s="164" t="str">
        <f ca="1">CONCATENATE("En el número energético, ",IF(C1=4,D1,D2)," y su creatividad estimulan a ",IF(C1=6,D1,D2),", mientrás que ",IF(C1=6,D1,D2),", estabiliza a ",IF(C1=4,D1,D2),".")</f>
        <v>En el número energético, usted y su creatividad estimulan a su pareja, mientrás que su pareja, estabiliza a usted.</v>
      </c>
      <c r="H34" s="172" t="s">
        <v>51</v>
      </c>
      <c r="I34" s="306" t="s">
        <v>522</v>
      </c>
      <c r="J34" s="164"/>
    </row>
    <row r="35" spans="4:10" ht="65.099999999999994" customHeight="1">
      <c r="D35" s="161">
        <v>47</v>
      </c>
      <c r="E35" s="164" t="s">
        <v>305</v>
      </c>
      <c r="F35" s="164" t="str">
        <f ca="1">CONCATENATE("En personalidad ambos son personas que prefieren el diálogo a las discusiones. Con elegancia y suavidad ",IF(B1=7,D1,D2)," siempre obtiene de ",IF(B1=4,D1,D2)," lo que quiere.")</f>
        <v>En personalidad ambos son personas que prefieren el diálogo a las discusiones. Con elegancia y suavidad su pareja siempre obtiene de su pareja lo que quiere.</v>
      </c>
      <c r="G35" s="164" t="str">
        <f ca="1">CONCATENATE("En el número energético, ",IF(C1=4,D1,D2)," es cretaivo, positivo y estimula. ",IF(C1=7,D1,D2)," es quien aporta la elegancia y la energía de prosperidad.")</f>
        <v>En el número energético, usted es cretaivo, positivo y estimula. su pareja es quien aporta la elegancia y la energía de prosperidad.</v>
      </c>
      <c r="H35" s="172" t="s">
        <v>51</v>
      </c>
      <c r="I35" s="306" t="s">
        <v>522</v>
      </c>
      <c r="J35" s="164"/>
    </row>
    <row r="36" spans="4:10" ht="65.099999999999994" customHeight="1">
      <c r="D36" s="161">
        <v>48</v>
      </c>
      <c r="E36" s="164" t="str">
        <f>CONCATENATE("En personalidad ambos pueden llevar una buena relación si ",IF(A1=4,D1,D2)," es respetuoso de la libertad y el espacio de ",IF(A1=8,D1,D2),".")</f>
        <v>En personalidad ambos pueden llevar una buena relación si su pareja es respetuoso de la libertad y el espacio de usted.</v>
      </c>
      <c r="F36" s="164" t="str">
        <f ca="1">CONCATENATE("En carácter, ",IF(B1=4,D1,D2)," puede ser destructivo para ",IF(B1=8,D1,D2)," cuando se presentan situaciones difíciles; ",IF(B1=4,D1,D2)," aporta alegría y creatividad, mientras que ",IF(B1=8,D1,D2)," contribuye con la tenacidad y la perseverancia.")</f>
        <v>En carácter, su pareja puede ser destructivo para su pareja cuando se presentan situaciones difíciles; su pareja aporta alegría y creatividad, mientras que su pareja contribuye con la tenacidad y la perseverancia.</v>
      </c>
      <c r="G36" s="164" t="str">
        <f ca="1">CONCATENATE("En el número energético, ",IF(C1=4,D1,D2)," provee la energía creativa, mientras que ",IF(C1=8,D1,D2)," tiene el desarrollo profesional y la energía para obtener oportunidades.")</f>
        <v>En el número energético, usted provee la energía creativa, mientras que su pareja tiene el desarrollo profesional y la energía para obtener oportunidades.</v>
      </c>
      <c r="H36" s="172" t="s">
        <v>50</v>
      </c>
      <c r="I36" s="164" t="s">
        <v>33</v>
      </c>
      <c r="J36" s="164"/>
    </row>
    <row r="37" spans="4:10" ht="65.099999999999994" customHeight="1">
      <c r="D37" s="161">
        <v>49</v>
      </c>
      <c r="E37" s="164" t="s">
        <v>9</v>
      </c>
      <c r="F37" s="164" t="str">
        <f ca="1">CONCATENATE("En el número de carácter, ",IF(B1=4,D1,D2)," pone la simpatía y ",IF(B1=9,D1,D2)," aporta la alegría. Forman un equipo que se estimulan y promueven mutuamente")</f>
        <v>En el número de carácter, su pareja pone la simpatía y su pareja aporta la alegría. Forman un equipo que se estimulan y promueven mutuamente</v>
      </c>
      <c r="G37" s="164" t="str">
        <f ca="1">CONCATENATE("En el número energético ",IF(C1=4,D1,D2)," impulsa a ",IF(C1=9,D1,D2),", quien puede llegar a ser explosivo, mientras que ",IF(C1=4,D1,D2)," puede manifestarse muy energético.")</f>
        <v>En el número energético usted impulsa a su pareja, quien puede llegar a ser explosivo, mientras que usted puede manifestarse muy energético.</v>
      </c>
      <c r="H37" s="172" t="s">
        <v>52</v>
      </c>
      <c r="I37" s="164" t="s">
        <v>34</v>
      </c>
      <c r="J37" s="164"/>
    </row>
    <row r="38" spans="4:10" ht="65.099999999999994" customHeight="1">
      <c r="D38" s="161">
        <v>55</v>
      </c>
      <c r="E38" s="164" t="s">
        <v>258</v>
      </c>
      <c r="F38" s="164" t="s">
        <v>259</v>
      </c>
      <c r="G38" s="164" t="s">
        <v>260</v>
      </c>
      <c r="H38" s="172" t="s">
        <v>45</v>
      </c>
      <c r="I38" s="164" t="s">
        <v>38</v>
      </c>
      <c r="J38" s="164"/>
    </row>
    <row r="39" spans="4:10" ht="65.099999999999994" customHeight="1">
      <c r="D39" s="161">
        <v>56</v>
      </c>
      <c r="E39" s="164" t="str">
        <f>CONCATENATE("En personalidad ",IF(A1=5,D1,D2)," aporta el brillo social, la alegría y la sociabilidad. En cambio, ",IF(A1=6,D1,D2)," contribuye con la seguridad y la seriedad, así como con el pensamiento analítico.")</f>
        <v>En personalidad su pareja aporta el brillo social, la alegría y la sociabilidad. En cambio, su pareja contribuye con la seguridad y la seriedad, así como con el pensamiento analítico.</v>
      </c>
      <c r="F39" s="164" t="str">
        <f ca="1">CONCATENATE("En carácter, ",IF(B1=5,D1,D2)," es estable y alegre, ",IF(B1=6,D1,D2)," es el líder natural. Ambos comparten el amor por la vida hogareña y la estabilidad financiera.")</f>
        <v>En carácter, su pareja es estable y alegre, su pareja es el líder natural. Ambos comparten el amor por la vida hogareña y la estabilidad financiera.</v>
      </c>
      <c r="G39" s="164" t="s">
        <v>261</v>
      </c>
      <c r="H39" s="172" t="s">
        <v>47</v>
      </c>
      <c r="I39" s="164" t="s">
        <v>39</v>
      </c>
      <c r="J39" s="164"/>
    </row>
    <row r="40" spans="4:10" ht="65.099999999999994" customHeight="1">
      <c r="D40" s="161">
        <v>57</v>
      </c>
      <c r="E40" s="164" t="str">
        <f>CONCATENATE("En personalidad representan una relación armoniosa, en la que ",IF(A1=5,D1,D2)," disfruta de la calidez de ",IF(A1=7,D1,D2)," mientras que ",IF(A1=7,D1,D2)," se apoya en la estabilidad de ",IF(A1=5,D1,D2),".")</f>
        <v>En personalidad representan una relación armoniosa, en la que su pareja disfruta de la calidez de su pareja mientras que su pareja se apoya en la estabilidad de su pareja.</v>
      </c>
      <c r="F40" s="164" t="s">
        <v>20</v>
      </c>
      <c r="G40" s="164" t="str">
        <f ca="1">CONCATENATE("El número energético, ",IF(C1=5,D1,D2)," provee de la fuerza y de la energía para realizar cualquier proyecto, mientras que ",IF(C1=7,D1,D2)," aporta las relaciones públicas y los contactos sociales para realizarlo.")</f>
        <v>El número energético, su pareja provee de la fuerza y de la energía para realizar cualquier proyecto, mientras que su pareja aporta las relaciones públicas y los contactos sociales para realizarlo.</v>
      </c>
      <c r="H40" s="172" t="s">
        <v>47</v>
      </c>
      <c r="I40" s="164" t="s">
        <v>39</v>
      </c>
      <c r="J40" s="164"/>
    </row>
    <row r="41" spans="4:10" ht="65.099999999999994" customHeight="1">
      <c r="D41" s="161">
        <v>58</v>
      </c>
      <c r="E41" s="164" t="str">
        <f>CONCATENATE("En personalidad los dos representan el poder y la fuerza, ",IF(A1=8,D1,D2)," es más prudente y silencioso que ",IF(A1=5,D1,D2),". Comparten ideales y el éxito.")</f>
        <v>En personalidad los dos representan el poder y la fuerza, usted es más prudente y silencioso que su pareja. Comparten ideales y el éxito.</v>
      </c>
      <c r="F41" s="164" t="s">
        <v>21</v>
      </c>
      <c r="G41" s="164" t="s">
        <v>22</v>
      </c>
      <c r="H41" s="172" t="s">
        <v>45</v>
      </c>
      <c r="I41" s="164" t="s">
        <v>38</v>
      </c>
      <c r="J41" s="164"/>
    </row>
    <row r="42" spans="4:10" ht="65.099999999999994" customHeight="1">
      <c r="D42" s="161">
        <v>59</v>
      </c>
      <c r="E42" s="164" t="s">
        <v>23</v>
      </c>
      <c r="F42" s="164" t="str">
        <f ca="1">CONCATENATE("En carácter ambos representan un ciclo muy creativo, ",IF(B1=5,D1,D2)," aporta estabilidad y ",IF(B1=9,D1,D2)," alegría y la felicidad.")</f>
        <v>En carácter ambos representan un ciclo muy creativo, su pareja aporta estabilidad y su pareja alegría y la felicidad.</v>
      </c>
      <c r="G42" s="164" t="str">
        <f ca="1">CONCATENATE("En el número energético la tenacidad y el perfeccionismo de ",IF(C1=5,D1,D2),", atrae, junto con la alegría y la sociabilidad de ",IF(C1=9,D1,D2)," grandes proyectos y su realización.")</f>
        <v>En el número energético la tenacidad y el perfeccionismo de su pareja, atrae, junto con la alegría y la sociabilidad de su pareja grandes proyectos y su realización.</v>
      </c>
      <c r="H42" s="172" t="s">
        <v>48</v>
      </c>
      <c r="I42" s="164" t="s">
        <v>36</v>
      </c>
      <c r="J42" s="164"/>
    </row>
    <row r="43" spans="4:10" ht="65.099999999999994" customHeight="1">
      <c r="D43" s="161">
        <v>66</v>
      </c>
      <c r="E43" s="164" t="s">
        <v>24</v>
      </c>
      <c r="F43" s="164" t="s">
        <v>25</v>
      </c>
      <c r="G43" s="164" t="s">
        <v>26</v>
      </c>
      <c r="H43" s="172" t="s">
        <v>53</v>
      </c>
      <c r="I43" s="164" t="s">
        <v>40</v>
      </c>
      <c r="J43" s="164"/>
    </row>
    <row r="44" spans="4:10" ht="65.099999999999994" customHeight="1">
      <c r="D44" s="161">
        <v>67</v>
      </c>
      <c r="E44" s="164" t="s">
        <v>169</v>
      </c>
      <c r="F44" s="164" t="str">
        <f ca="1">CONCATENATE("En carácter ",IF(B1=6,D1,D2)," provee de alegría y entusiasmo la relación, mientras que ",IF(B1=7,D1,D2),", la sabiduría, sensatez y la responsabilidad.")</f>
        <v>En carácter su pareja provee de alegría y entusiasmo la relación, mientras que su pareja, la sabiduría, sensatez y la responsabilidad.</v>
      </c>
      <c r="G44" s="164" t="str">
        <f ca="1">CONCATENATE("En el número energético, ",IF(C1=6,D1,D2)," aporta la habilidad de planear y estructurar a futuro, mientras que ",IF(C1=7,D1,D2)," la elegancia y la sutileza para lograrlo.")</f>
        <v>En el número energético, su pareja aporta la habilidad de planear y estructurar a futuro, mientras que su pareja la elegancia y la sutileza para lograrlo.</v>
      </c>
      <c r="H44" s="172" t="s">
        <v>53</v>
      </c>
      <c r="I44" s="164" t="s">
        <v>40</v>
      </c>
      <c r="J44" s="164"/>
    </row>
    <row r="45" spans="4:10" ht="65.099999999999994" customHeight="1">
      <c r="D45" s="161">
        <v>68</v>
      </c>
      <c r="E45" s="164" t="s">
        <v>170</v>
      </c>
      <c r="F45" s="164" t="s">
        <v>171</v>
      </c>
      <c r="G45" s="164" t="s">
        <v>172</v>
      </c>
      <c r="H45" s="172" t="s">
        <v>54</v>
      </c>
      <c r="I45" s="164" t="s">
        <v>39</v>
      </c>
      <c r="J45" s="164"/>
    </row>
    <row r="46" spans="4:10" ht="65.099999999999994" customHeight="1">
      <c r="D46" s="161">
        <v>69</v>
      </c>
      <c r="E46" s="164" t="str">
        <f>CONCATENATE("En personalidad ambos son personalidades orgullosas; ",IF(A1=6,D1,D2)," admirará de ",IF(A1=9,D1,D2)," su alegría y deseos de socializar, aunque habrá momentos en no pueda seguirle el ritmo, ",IF(A1=9,D1,D2)," valorará la imagen de seriedad y respeto de ",IF(A1=6,D1,D2),".")</f>
        <v>En personalidad ambos son personalidades orgullosas; su pareja admirará de su pareja su alegría y deseos de socializar, aunque habrá momentos en no pueda seguirle el ritmo, su pareja valorará la imagen de seriedad y respeto de su pareja.</v>
      </c>
      <c r="F46" s="164" t="str">
        <f ca="1">CONCATENATE("En carácter, ",IF(B1=9,D1,D2)," puede resultar dominante, hiriente y destructivo para ",IF(B1=6,D1,D2),". Debe cuidarse mucho la relación a través de negociar y dialogar sobre el deseo de ambas partes.")</f>
        <v>En carácter, su pareja puede resultar dominante, hiriente y destructivo para su pareja. Debe cuidarse mucho la relación a través de negociar y dialogar sobre el deseo de ambas partes.</v>
      </c>
      <c r="G46" s="164" t="str">
        <f ca="1">CONCATENATE("En el número energético pueden tener el problema de que la banalidad de ",IF(C1=9,D1,D2)," desespere y desestabilice a ",IF(C1=6,D1,D2),", mientras que ",IF(C1=9,D1,D2)," puede perder el deseo y la pasión por la inexpresividad de ",IF(C1=6,D1,D2),".")</f>
        <v>En el número energético pueden tener el problema de que la banalidad de su pareja desespere y desestabilice a su pareja, mientras que su pareja puede perder el deseo y la pasión por la inexpresividad de su pareja.</v>
      </c>
      <c r="H46" s="172" t="s">
        <v>55</v>
      </c>
      <c r="I46" s="164" t="s">
        <v>37</v>
      </c>
      <c r="J46" s="164"/>
    </row>
    <row r="47" spans="4:10" ht="65.099999999999994" customHeight="1">
      <c r="D47" s="161">
        <v>77</v>
      </c>
      <c r="E47" s="164" t="s">
        <v>306</v>
      </c>
      <c r="F47" s="164" t="s">
        <v>173</v>
      </c>
      <c r="G47" s="164" t="s">
        <v>174</v>
      </c>
      <c r="H47" s="172" t="s">
        <v>53</v>
      </c>
      <c r="I47" s="164" t="s">
        <v>40</v>
      </c>
      <c r="J47" s="164"/>
    </row>
    <row r="48" spans="4:10" ht="65.099999999999994" customHeight="1">
      <c r="D48" s="161">
        <v>78</v>
      </c>
      <c r="E48" s="164" t="s">
        <v>175</v>
      </c>
      <c r="F48" s="164" t="str">
        <f ca="1">CONCATENATE("En carácter se motivan y apoyan mutuamente, ",IF(B1=8,D1,D2)," aporta la fortaleza y ",IF(B1=7,D1,D2)," la elegancia.")</f>
        <v>En carácter se motivan y apoyan mutuamente, su pareja aporta la fortaleza y su pareja la elegancia.</v>
      </c>
      <c r="G48" s="164" t="s">
        <v>176</v>
      </c>
      <c r="H48" s="172" t="s">
        <v>54</v>
      </c>
      <c r="I48" s="164" t="s">
        <v>39</v>
      </c>
      <c r="J48" s="164"/>
    </row>
    <row r="49" spans="3:10" ht="65.099999999999994" customHeight="1">
      <c r="D49" s="161">
        <v>79</v>
      </c>
      <c r="E49" s="164" t="str">
        <f>CONCATENATE("En personalidad, ",IF(A1=7,D1,D2)," es suave y elegante, mientras que ",IF(A1=9,D1,D2)," es brillante y sociable; si evitan opacarese uno al otro pueden ser una buena combinación.")</f>
        <v>En personalidad, su pareja es suave y elegante, mientras que su pareja es brillante y sociable; si evitan opacarese uno al otro pueden ser una buena combinación.</v>
      </c>
      <c r="F49" s="164" t="str">
        <f ca="1">CONCATENATE("En carácter, ",IF(B1=9,D1,D2)," puede dominar y lastimar a ",IF(B1=7,D1,D2)," con su punto de vista superficial de la vida pues ",IF(B1=7,D1,D2)," es más sentimental, espiritual y profundo.")</f>
        <v>En carácter, su pareja puede dominar y lastimar a su pareja con su punto de vista superficial de la vida pues su pareja es más sentimental, espiritual y profundo.</v>
      </c>
      <c r="G49" s="164" t="str">
        <f ca="1">CONCATENATE("En el número energético, forman un buen equipo, en el que ",IF(C1=9,D1,D2)," crea y hace publicidad, mientras que ",IF(C1=7,D1,D2)," realiza, estimula y logra.")</f>
        <v>En el número energético, forman un buen equipo, en el que su pareja crea y hace publicidad, mientras que su pareja realiza, estimula y logra.</v>
      </c>
      <c r="H49" s="172" t="s">
        <v>55</v>
      </c>
      <c r="I49" s="164" t="s">
        <v>37</v>
      </c>
      <c r="J49" s="164"/>
    </row>
    <row r="50" spans="3:10" ht="65.099999999999994" customHeight="1">
      <c r="D50" s="161">
        <v>88</v>
      </c>
      <c r="E50" s="164" t="s">
        <v>295</v>
      </c>
      <c r="F50" s="164" t="s">
        <v>296</v>
      </c>
      <c r="G50" s="164" t="s">
        <v>297</v>
      </c>
      <c r="H50" s="172" t="s">
        <v>45</v>
      </c>
      <c r="I50" s="164" t="s">
        <v>36</v>
      </c>
      <c r="J50" s="164"/>
    </row>
    <row r="51" spans="3:10" ht="65.099999999999994" customHeight="1">
      <c r="D51" s="161">
        <v>89</v>
      </c>
      <c r="E51" s="164" t="str">
        <f>CONCATENATE("En personalidad son una combinación alegre y sólida, ",IF(A1=9,D1,D2)," aporta la alegría, mientras que la solidez proviene de ",IF(A1=8,D1,D2),".")</f>
        <v>En personalidad son una combinación alegre y sólida, su pareja aporta la alegría, mientras que la solidez proviene de usted.</v>
      </c>
      <c r="F51" s="164" t="s">
        <v>298</v>
      </c>
      <c r="G51" s="164" t="str">
        <f ca="1">CONCATENATE("En el número energético son capaces de obtener todo lo que quieran y se propongan, ",IF(C1=9,D1,D2)," crea y ",IF(C1=8,D1,D2)," realiza. Éxito seguro.")</f>
        <v>En el número energético son capaces de obtener todo lo que quieran y se propongan, su pareja crea y su pareja realiza. Éxito seguro.</v>
      </c>
      <c r="H51" s="172" t="s">
        <v>48</v>
      </c>
      <c r="I51" s="164" t="s">
        <v>36</v>
      </c>
      <c r="J51" s="164"/>
    </row>
    <row r="52" spans="3:10" ht="65.099999999999994" customHeight="1">
      <c r="D52" s="161">
        <v>99</v>
      </c>
      <c r="E52" s="164" t="s">
        <v>299</v>
      </c>
      <c r="F52" s="164" t="s">
        <v>300</v>
      </c>
      <c r="G52" s="164" t="s">
        <v>301</v>
      </c>
      <c r="H52" s="172" t="s">
        <v>56</v>
      </c>
      <c r="I52" s="164" t="s">
        <v>35</v>
      </c>
      <c r="J52" s="164"/>
    </row>
    <row r="54" spans="3:10" ht="76.5">
      <c r="C54" s="172">
        <v>1</v>
      </c>
      <c r="D54" s="172" t="s">
        <v>58</v>
      </c>
      <c r="E54" s="164" t="s">
        <v>67</v>
      </c>
    </row>
    <row r="55" spans="3:10" ht="114.75">
      <c r="C55" s="172">
        <v>2</v>
      </c>
      <c r="D55" s="172" t="s">
        <v>59</v>
      </c>
      <c r="E55" s="164" t="s">
        <v>68</v>
      </c>
    </row>
    <row r="56" spans="3:10" ht="51">
      <c r="C56" s="172">
        <v>3</v>
      </c>
      <c r="D56" s="172" t="s">
        <v>60</v>
      </c>
      <c r="E56" s="164" t="s">
        <v>69</v>
      </c>
    </row>
    <row r="57" spans="3:10" ht="63.75">
      <c r="C57" s="172">
        <v>4</v>
      </c>
      <c r="D57" s="172" t="s">
        <v>61</v>
      </c>
      <c r="E57" s="164" t="s">
        <v>272</v>
      </c>
    </row>
    <row r="58" spans="3:10" ht="30.75" customHeight="1">
      <c r="C58" s="172">
        <v>5</v>
      </c>
      <c r="D58" s="172" t="s">
        <v>62</v>
      </c>
      <c r="E58" s="164" t="s">
        <v>204</v>
      </c>
    </row>
    <row r="59" spans="3:10" ht="51">
      <c r="C59" s="172">
        <v>6</v>
      </c>
      <c r="D59" s="172" t="s">
        <v>63</v>
      </c>
      <c r="E59" s="164" t="s">
        <v>200</v>
      </c>
    </row>
    <row r="60" spans="3:10" ht="51">
      <c r="C60" s="172">
        <v>7</v>
      </c>
      <c r="D60" s="172" t="s">
        <v>64</v>
      </c>
      <c r="E60" s="164" t="s">
        <v>203</v>
      </c>
    </row>
    <row r="61" spans="3:10" ht="38.25">
      <c r="C61" s="172">
        <v>8</v>
      </c>
      <c r="D61" s="172" t="s">
        <v>65</v>
      </c>
      <c r="E61" s="164" t="s">
        <v>201</v>
      </c>
    </row>
    <row r="62" spans="3:10" ht="51">
      <c r="C62" s="172">
        <v>9</v>
      </c>
      <c r="D62" s="172" t="s">
        <v>66</v>
      </c>
      <c r="E62" s="164" t="s">
        <v>202</v>
      </c>
    </row>
  </sheetData>
  <phoneticPr fontId="11" type="noConversion"/>
  <conditionalFormatting sqref="I1:J1 G1">
    <cfRule type="expression" dxfId="11" priority="1" stopIfTrue="1">
      <formula>IF($C$1&gt;$C$2,TRUE,FALSE)</formula>
    </cfRule>
    <cfRule type="expression" dxfId="10" priority="2" stopIfTrue="1">
      <formula>IF($C$1&lt;=$C$2,TRUE,FALSE)</formula>
    </cfRule>
  </conditionalFormatting>
  <conditionalFormatting sqref="I2:J2 G2">
    <cfRule type="expression" dxfId="9" priority="3" stopIfTrue="1">
      <formula>IF($C$1&gt;$C$2,TRUE,FALSE)</formula>
    </cfRule>
    <cfRule type="expression" dxfId="8" priority="4" stopIfTrue="1">
      <formula>IF($C$1&lt;=$C$2,TRUE,FALSE)</formula>
    </cfRule>
  </conditionalFormatting>
  <conditionalFormatting sqref="E1">
    <cfRule type="expression" dxfId="7" priority="5" stopIfTrue="1">
      <formula>IF($A$1&gt;$A$2,TRUE,FALSE)</formula>
    </cfRule>
    <cfRule type="expression" dxfId="6" priority="6" stopIfTrue="1">
      <formula>IF($A$1&lt;=$A$2,TRUE,FALSE)</formula>
    </cfRule>
  </conditionalFormatting>
  <conditionalFormatting sqref="E2">
    <cfRule type="expression" dxfId="5" priority="7" stopIfTrue="1">
      <formula>IF($A$1&gt;$A$2,TRUE,FALSE)</formula>
    </cfRule>
    <cfRule type="expression" dxfId="4" priority="8" stopIfTrue="1">
      <formula>IF($A$1&lt;=$A$2,TRUE,FALSE)</formula>
    </cfRule>
  </conditionalFormatting>
  <conditionalFormatting sqref="F1">
    <cfRule type="expression" dxfId="3" priority="9" stopIfTrue="1">
      <formula>IF($B$1&gt;$B$2,TRUE,FALSE)</formula>
    </cfRule>
    <cfRule type="expression" dxfId="2" priority="10" stopIfTrue="1">
      <formula>IF($B$1&lt;=$B$2,TRUE,FALSE)</formula>
    </cfRule>
  </conditionalFormatting>
  <conditionalFormatting sqref="F2">
    <cfRule type="expression" dxfId="1" priority="11" stopIfTrue="1">
      <formula>IF($B$1&gt;$B$2,TRUE,FALSE)</formula>
    </cfRule>
    <cfRule type="expression" dxfId="0" priority="12" stopIfTrue="1">
      <formula>IF($B$1&lt;=$B$2,TRUE,FALSE)</formula>
    </cfRule>
  </conditionalFormatting>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
  <sheetViews>
    <sheetView topLeftCell="A4" workbookViewId="0">
      <selection activeCell="M6" sqref="M6:R9"/>
    </sheetView>
  </sheetViews>
  <sheetFormatPr baseColWidth="10" defaultRowHeight="12.75"/>
  <sheetData>
    <row r="1" spans="1:54" s="36" customFormat="1" ht="13.5" thickBot="1">
      <c r="A1" s="541" t="s">
        <v>168</v>
      </c>
      <c r="B1" s="542"/>
      <c r="C1" s="542"/>
      <c r="D1" s="542"/>
      <c r="E1" s="542"/>
      <c r="F1" s="543"/>
      <c r="G1" s="541" t="s">
        <v>113</v>
      </c>
      <c r="H1" s="542"/>
      <c r="I1" s="542"/>
      <c r="J1" s="542"/>
      <c r="K1" s="542"/>
      <c r="L1" s="543"/>
      <c r="M1" s="541" t="s">
        <v>114</v>
      </c>
      <c r="N1" s="542"/>
      <c r="O1" s="542"/>
      <c r="P1" s="542"/>
      <c r="Q1" s="542"/>
      <c r="R1" s="543"/>
      <c r="S1" s="541" t="s">
        <v>115</v>
      </c>
      <c r="T1" s="542"/>
      <c r="U1" s="542"/>
      <c r="V1" s="542"/>
      <c r="W1" s="542"/>
      <c r="X1" s="543"/>
      <c r="Y1" s="541" t="s">
        <v>116</v>
      </c>
      <c r="Z1" s="542"/>
      <c r="AA1" s="542"/>
      <c r="AB1" s="542"/>
      <c r="AC1" s="542"/>
      <c r="AD1" s="543"/>
      <c r="AE1" s="541" t="s">
        <v>117</v>
      </c>
      <c r="AF1" s="542"/>
      <c r="AG1" s="542"/>
      <c r="AH1" s="542"/>
      <c r="AI1" s="542"/>
      <c r="AJ1" s="543"/>
      <c r="AK1" s="541" t="s">
        <v>118</v>
      </c>
      <c r="AL1" s="542"/>
      <c r="AM1" s="542"/>
      <c r="AN1" s="542"/>
      <c r="AO1" s="542"/>
      <c r="AP1" s="543"/>
      <c r="AQ1" s="541" t="s">
        <v>119</v>
      </c>
      <c r="AR1" s="542"/>
      <c r="AS1" s="542"/>
      <c r="AT1" s="542"/>
      <c r="AU1" s="542"/>
      <c r="AV1" s="543"/>
      <c r="AW1" s="541" t="s">
        <v>120</v>
      </c>
      <c r="AX1" s="542"/>
      <c r="AY1" s="542"/>
      <c r="AZ1" s="542"/>
      <c r="BA1" s="542"/>
      <c r="BB1" s="543"/>
    </row>
    <row r="2" spans="1:54" s="34" customFormat="1" ht="50.1" customHeight="1">
      <c r="A2" s="379" t="s">
        <v>27</v>
      </c>
      <c r="B2" s="380"/>
      <c r="C2" s="380"/>
      <c r="D2" s="380"/>
      <c r="E2" s="380"/>
      <c r="F2" s="381"/>
      <c r="G2" s="379" t="s">
        <v>121</v>
      </c>
      <c r="H2" s="380"/>
      <c r="I2" s="380"/>
      <c r="J2" s="380"/>
      <c r="K2" s="380"/>
      <c r="L2" s="381"/>
      <c r="M2" s="379" t="s">
        <v>122</v>
      </c>
      <c r="N2" s="380"/>
      <c r="O2" s="380"/>
      <c r="P2" s="380"/>
      <c r="Q2" s="380"/>
      <c r="R2" s="381"/>
      <c r="S2" s="379" t="s">
        <v>220</v>
      </c>
      <c r="T2" s="380"/>
      <c r="U2" s="380"/>
      <c r="V2" s="380"/>
      <c r="W2" s="380"/>
      <c r="X2" s="381"/>
      <c r="Y2" s="379" t="s">
        <v>270</v>
      </c>
      <c r="Z2" s="380"/>
      <c r="AA2" s="380"/>
      <c r="AB2" s="380"/>
      <c r="AC2" s="380"/>
      <c r="AD2" s="381"/>
      <c r="AE2" s="379" t="s">
        <v>87</v>
      </c>
      <c r="AF2" s="380"/>
      <c r="AG2" s="380"/>
      <c r="AH2" s="380"/>
      <c r="AI2" s="380"/>
      <c r="AJ2" s="381"/>
      <c r="AK2" s="379" t="s">
        <v>231</v>
      </c>
      <c r="AL2" s="380"/>
      <c r="AM2" s="380"/>
      <c r="AN2" s="380"/>
      <c r="AO2" s="380"/>
      <c r="AP2" s="381"/>
      <c r="AQ2" s="379" t="s">
        <v>6</v>
      </c>
      <c r="AR2" s="380"/>
      <c r="AS2" s="380"/>
      <c r="AT2" s="380"/>
      <c r="AU2" s="380"/>
      <c r="AV2" s="381"/>
      <c r="AW2" s="379" t="s">
        <v>7</v>
      </c>
      <c r="AX2" s="380"/>
      <c r="AY2" s="380"/>
      <c r="AZ2" s="380"/>
      <c r="BA2" s="380"/>
      <c r="BB2" s="381"/>
    </row>
    <row r="3" spans="1:54" s="34" customFormat="1" ht="50.1" customHeight="1">
      <c r="A3" s="376"/>
      <c r="B3" s="377"/>
      <c r="C3" s="377"/>
      <c r="D3" s="377"/>
      <c r="E3" s="377"/>
      <c r="F3" s="378"/>
      <c r="G3" s="376"/>
      <c r="H3" s="377"/>
      <c r="I3" s="377"/>
      <c r="J3" s="377"/>
      <c r="K3" s="377"/>
      <c r="L3" s="378"/>
      <c r="M3" s="376"/>
      <c r="N3" s="377"/>
      <c r="O3" s="377"/>
      <c r="P3" s="377"/>
      <c r="Q3" s="377"/>
      <c r="R3" s="378"/>
      <c r="S3" s="376"/>
      <c r="T3" s="377"/>
      <c r="U3" s="377"/>
      <c r="V3" s="377"/>
      <c r="W3" s="377"/>
      <c r="X3" s="378"/>
      <c r="Y3" s="376"/>
      <c r="Z3" s="377"/>
      <c r="AA3" s="377"/>
      <c r="AB3" s="377"/>
      <c r="AC3" s="377"/>
      <c r="AD3" s="378"/>
      <c r="AE3" s="376"/>
      <c r="AF3" s="377"/>
      <c r="AG3" s="377"/>
      <c r="AH3" s="377"/>
      <c r="AI3" s="377"/>
      <c r="AJ3" s="378"/>
      <c r="AK3" s="376"/>
      <c r="AL3" s="377"/>
      <c r="AM3" s="377"/>
      <c r="AN3" s="377"/>
      <c r="AO3" s="377"/>
      <c r="AP3" s="378"/>
      <c r="AQ3" s="376"/>
      <c r="AR3" s="377"/>
      <c r="AS3" s="377"/>
      <c r="AT3" s="377"/>
      <c r="AU3" s="377"/>
      <c r="AV3" s="378"/>
      <c r="AW3" s="376"/>
      <c r="AX3" s="377"/>
      <c r="AY3" s="377"/>
      <c r="AZ3" s="377"/>
      <c r="BA3" s="377"/>
      <c r="BB3" s="378"/>
    </row>
    <row r="4" spans="1:54" s="34" customFormat="1" ht="50.1" customHeight="1">
      <c r="A4" s="376"/>
      <c r="B4" s="377"/>
      <c r="C4" s="377"/>
      <c r="D4" s="377"/>
      <c r="E4" s="377"/>
      <c r="F4" s="378"/>
      <c r="G4" s="376"/>
      <c r="H4" s="377"/>
      <c r="I4" s="377"/>
      <c r="J4" s="377"/>
      <c r="K4" s="377"/>
      <c r="L4" s="378"/>
      <c r="M4" s="376"/>
      <c r="N4" s="377"/>
      <c r="O4" s="377"/>
      <c r="P4" s="377"/>
      <c r="Q4" s="377"/>
      <c r="R4" s="378"/>
      <c r="S4" s="376"/>
      <c r="T4" s="377"/>
      <c r="U4" s="377"/>
      <c r="V4" s="377"/>
      <c r="W4" s="377"/>
      <c r="X4" s="378"/>
      <c r="Y4" s="376"/>
      <c r="Z4" s="377"/>
      <c r="AA4" s="377"/>
      <c r="AB4" s="377"/>
      <c r="AC4" s="377"/>
      <c r="AD4" s="378"/>
      <c r="AE4" s="376"/>
      <c r="AF4" s="377"/>
      <c r="AG4" s="377"/>
      <c r="AH4" s="377"/>
      <c r="AI4" s="377"/>
      <c r="AJ4" s="378"/>
      <c r="AK4" s="376"/>
      <c r="AL4" s="377"/>
      <c r="AM4" s="377"/>
      <c r="AN4" s="377"/>
      <c r="AO4" s="377"/>
      <c r="AP4" s="378"/>
      <c r="AQ4" s="376"/>
      <c r="AR4" s="377"/>
      <c r="AS4" s="377"/>
      <c r="AT4" s="377"/>
      <c r="AU4" s="377"/>
      <c r="AV4" s="378"/>
      <c r="AW4" s="376"/>
      <c r="AX4" s="377"/>
      <c r="AY4" s="377"/>
      <c r="AZ4" s="377"/>
      <c r="BA4" s="377"/>
      <c r="BB4" s="378"/>
    </row>
    <row r="5" spans="1:54" s="34" customFormat="1" ht="50.1" customHeight="1">
      <c r="A5" s="376"/>
      <c r="B5" s="377"/>
      <c r="C5" s="377"/>
      <c r="D5" s="377"/>
      <c r="E5" s="377"/>
      <c r="F5" s="378"/>
      <c r="G5" s="376"/>
      <c r="H5" s="377"/>
      <c r="I5" s="377"/>
      <c r="J5" s="377"/>
      <c r="K5" s="377"/>
      <c r="L5" s="378"/>
      <c r="M5" s="376"/>
      <c r="N5" s="377"/>
      <c r="O5" s="377"/>
      <c r="P5" s="377"/>
      <c r="Q5" s="377"/>
      <c r="R5" s="378"/>
      <c r="S5" s="376"/>
      <c r="T5" s="377"/>
      <c r="U5" s="377"/>
      <c r="V5" s="377"/>
      <c r="W5" s="377"/>
      <c r="X5" s="378"/>
      <c r="Y5" s="376"/>
      <c r="Z5" s="377"/>
      <c r="AA5" s="377"/>
      <c r="AB5" s="377"/>
      <c r="AC5" s="377"/>
      <c r="AD5" s="378"/>
      <c r="AE5" s="376"/>
      <c r="AF5" s="377"/>
      <c r="AG5" s="377"/>
      <c r="AH5" s="377"/>
      <c r="AI5" s="377"/>
      <c r="AJ5" s="378"/>
      <c r="AK5" s="376"/>
      <c r="AL5" s="377"/>
      <c r="AM5" s="377"/>
      <c r="AN5" s="377"/>
      <c r="AO5" s="377"/>
      <c r="AP5" s="378"/>
      <c r="AQ5" s="376"/>
      <c r="AR5" s="377"/>
      <c r="AS5" s="377"/>
      <c r="AT5" s="377"/>
      <c r="AU5" s="377"/>
      <c r="AV5" s="378"/>
      <c r="AW5" s="376"/>
      <c r="AX5" s="377"/>
      <c r="AY5" s="377"/>
      <c r="AZ5" s="377"/>
      <c r="BA5" s="377"/>
      <c r="BB5" s="378"/>
    </row>
    <row r="6" spans="1:54" s="34" customFormat="1" ht="48" customHeight="1">
      <c r="A6" s="376" t="s">
        <v>140</v>
      </c>
      <c r="B6" s="377"/>
      <c r="C6" s="377"/>
      <c r="D6" s="377"/>
      <c r="E6" s="377"/>
      <c r="F6" s="378"/>
      <c r="G6" s="376" t="s">
        <v>224</v>
      </c>
      <c r="H6" s="377"/>
      <c r="I6" s="377"/>
      <c r="J6" s="377"/>
      <c r="K6" s="377"/>
      <c r="L6" s="378"/>
      <c r="M6" s="376" t="s">
        <v>225</v>
      </c>
      <c r="N6" s="377"/>
      <c r="O6" s="377"/>
      <c r="P6" s="377"/>
      <c r="Q6" s="377"/>
      <c r="R6" s="378"/>
      <c r="S6" s="376" t="s">
        <v>221</v>
      </c>
      <c r="T6" s="377"/>
      <c r="U6" s="377"/>
      <c r="V6" s="377"/>
      <c r="W6" s="377"/>
      <c r="X6" s="378"/>
      <c r="Y6" s="376" t="s">
        <v>271</v>
      </c>
      <c r="Z6" s="377"/>
      <c r="AA6" s="377"/>
      <c r="AB6" s="377"/>
      <c r="AC6" s="377"/>
      <c r="AD6" s="378"/>
      <c r="AE6" s="376" t="s">
        <v>249</v>
      </c>
      <c r="AF6" s="377"/>
      <c r="AG6" s="377"/>
      <c r="AH6" s="377"/>
      <c r="AI6" s="377"/>
      <c r="AJ6" s="378"/>
      <c r="AK6" s="376" t="s">
        <v>232</v>
      </c>
      <c r="AL6" s="377"/>
      <c r="AM6" s="377"/>
      <c r="AN6" s="377"/>
      <c r="AO6" s="377"/>
      <c r="AP6" s="378"/>
      <c r="AQ6" s="376" t="s">
        <v>317</v>
      </c>
      <c r="AR6" s="377"/>
      <c r="AS6" s="377"/>
      <c r="AT6" s="377"/>
      <c r="AU6" s="377"/>
      <c r="AV6" s="378"/>
      <c r="AW6" s="376" t="s">
        <v>5</v>
      </c>
      <c r="AX6" s="377"/>
      <c r="AY6" s="377"/>
      <c r="AZ6" s="377"/>
      <c r="BA6" s="377"/>
      <c r="BB6" s="378"/>
    </row>
    <row r="7" spans="1:54" s="34" customFormat="1" ht="48" customHeight="1">
      <c r="A7" s="376"/>
      <c r="B7" s="377"/>
      <c r="C7" s="377"/>
      <c r="D7" s="377"/>
      <c r="E7" s="377"/>
      <c r="F7" s="378"/>
      <c r="G7" s="376"/>
      <c r="H7" s="377"/>
      <c r="I7" s="377"/>
      <c r="J7" s="377"/>
      <c r="K7" s="377"/>
      <c r="L7" s="378"/>
      <c r="M7" s="376"/>
      <c r="N7" s="377"/>
      <c r="O7" s="377"/>
      <c r="P7" s="377"/>
      <c r="Q7" s="377"/>
      <c r="R7" s="378"/>
      <c r="S7" s="376"/>
      <c r="T7" s="377"/>
      <c r="U7" s="377"/>
      <c r="V7" s="377"/>
      <c r="W7" s="377"/>
      <c r="X7" s="378"/>
      <c r="Y7" s="376"/>
      <c r="Z7" s="377"/>
      <c r="AA7" s="377"/>
      <c r="AB7" s="377"/>
      <c r="AC7" s="377"/>
      <c r="AD7" s="378"/>
      <c r="AE7" s="376"/>
      <c r="AF7" s="377"/>
      <c r="AG7" s="377"/>
      <c r="AH7" s="377"/>
      <c r="AI7" s="377"/>
      <c r="AJ7" s="378"/>
      <c r="AK7" s="376"/>
      <c r="AL7" s="377"/>
      <c r="AM7" s="377"/>
      <c r="AN7" s="377"/>
      <c r="AO7" s="377"/>
      <c r="AP7" s="378"/>
      <c r="AQ7" s="376"/>
      <c r="AR7" s="377"/>
      <c r="AS7" s="377"/>
      <c r="AT7" s="377"/>
      <c r="AU7" s="377"/>
      <c r="AV7" s="378"/>
      <c r="AW7" s="376"/>
      <c r="AX7" s="377"/>
      <c r="AY7" s="377"/>
      <c r="AZ7" s="377"/>
      <c r="BA7" s="377"/>
      <c r="BB7" s="378"/>
    </row>
    <row r="8" spans="1:54" s="34" customFormat="1" ht="48" customHeight="1">
      <c r="A8" s="376"/>
      <c r="B8" s="377"/>
      <c r="C8" s="377"/>
      <c r="D8" s="377"/>
      <c r="E8" s="377"/>
      <c r="F8" s="378"/>
      <c r="G8" s="376"/>
      <c r="H8" s="377"/>
      <c r="I8" s="377"/>
      <c r="J8" s="377"/>
      <c r="K8" s="377"/>
      <c r="L8" s="378"/>
      <c r="M8" s="376"/>
      <c r="N8" s="377"/>
      <c r="O8" s="377"/>
      <c r="P8" s="377"/>
      <c r="Q8" s="377"/>
      <c r="R8" s="378"/>
      <c r="S8" s="376"/>
      <c r="T8" s="377"/>
      <c r="U8" s="377"/>
      <c r="V8" s="377"/>
      <c r="W8" s="377"/>
      <c r="X8" s="378"/>
      <c r="Y8" s="376"/>
      <c r="Z8" s="377"/>
      <c r="AA8" s="377"/>
      <c r="AB8" s="377"/>
      <c r="AC8" s="377"/>
      <c r="AD8" s="378"/>
      <c r="AE8" s="376"/>
      <c r="AF8" s="377"/>
      <c r="AG8" s="377"/>
      <c r="AH8" s="377"/>
      <c r="AI8" s="377"/>
      <c r="AJ8" s="378"/>
      <c r="AK8" s="376"/>
      <c r="AL8" s="377"/>
      <c r="AM8" s="377"/>
      <c r="AN8" s="377"/>
      <c r="AO8" s="377"/>
      <c r="AP8" s="378"/>
      <c r="AQ8" s="376"/>
      <c r="AR8" s="377"/>
      <c r="AS8" s="377"/>
      <c r="AT8" s="377"/>
      <c r="AU8" s="377"/>
      <c r="AV8" s="378"/>
      <c r="AW8" s="376"/>
      <c r="AX8" s="377"/>
      <c r="AY8" s="377"/>
      <c r="AZ8" s="377"/>
      <c r="BA8" s="377"/>
      <c r="BB8" s="378"/>
    </row>
    <row r="9" spans="1:54" s="34" customFormat="1" ht="48" customHeight="1">
      <c r="A9" s="376"/>
      <c r="B9" s="377"/>
      <c r="C9" s="377"/>
      <c r="D9" s="377"/>
      <c r="E9" s="377"/>
      <c r="F9" s="378"/>
      <c r="G9" s="376"/>
      <c r="H9" s="377"/>
      <c r="I9" s="377"/>
      <c r="J9" s="377"/>
      <c r="K9" s="377"/>
      <c r="L9" s="378"/>
      <c r="M9" s="376"/>
      <c r="N9" s="377"/>
      <c r="O9" s="377"/>
      <c r="P9" s="377"/>
      <c r="Q9" s="377"/>
      <c r="R9" s="378"/>
      <c r="S9" s="376"/>
      <c r="T9" s="377"/>
      <c r="U9" s="377"/>
      <c r="V9" s="377"/>
      <c r="W9" s="377"/>
      <c r="X9" s="378"/>
      <c r="Y9" s="376"/>
      <c r="Z9" s="377"/>
      <c r="AA9" s="377"/>
      <c r="AB9" s="377"/>
      <c r="AC9" s="377"/>
      <c r="AD9" s="378"/>
      <c r="AE9" s="376"/>
      <c r="AF9" s="377"/>
      <c r="AG9" s="377"/>
      <c r="AH9" s="377"/>
      <c r="AI9" s="377"/>
      <c r="AJ9" s="378"/>
      <c r="AK9" s="376"/>
      <c r="AL9" s="377"/>
      <c r="AM9" s="377"/>
      <c r="AN9" s="377"/>
      <c r="AO9" s="377"/>
      <c r="AP9" s="378"/>
      <c r="AQ9" s="376"/>
      <c r="AR9" s="377"/>
      <c r="AS9" s="377"/>
      <c r="AT9" s="377"/>
      <c r="AU9" s="377"/>
      <c r="AV9" s="378"/>
      <c r="AW9" s="376"/>
      <c r="AX9" s="377"/>
      <c r="AY9" s="377"/>
      <c r="AZ9" s="377"/>
      <c r="BA9" s="377"/>
      <c r="BB9" s="378"/>
    </row>
    <row r="10" spans="1:54" s="34" customFormat="1" ht="35.1" customHeight="1">
      <c r="A10" s="376" t="s">
        <v>209</v>
      </c>
      <c r="B10" s="377"/>
      <c r="C10" s="377"/>
      <c r="D10" s="377"/>
      <c r="E10" s="377"/>
      <c r="F10" s="378"/>
      <c r="G10" s="376" t="s">
        <v>318</v>
      </c>
      <c r="H10" s="377"/>
      <c r="I10" s="377"/>
      <c r="J10" s="377"/>
      <c r="K10" s="377"/>
      <c r="L10" s="378"/>
      <c r="M10" s="376" t="s">
        <v>226</v>
      </c>
      <c r="N10" s="377"/>
      <c r="O10" s="377"/>
      <c r="P10" s="377"/>
      <c r="Q10" s="377"/>
      <c r="R10" s="378"/>
      <c r="S10" s="376" t="s">
        <v>226</v>
      </c>
      <c r="T10" s="377"/>
      <c r="U10" s="377"/>
      <c r="V10" s="377"/>
      <c r="W10" s="377"/>
      <c r="X10" s="378"/>
      <c r="Y10" s="376" t="s">
        <v>226</v>
      </c>
      <c r="Z10" s="377"/>
      <c r="AA10" s="377"/>
      <c r="AB10" s="377"/>
      <c r="AC10" s="377"/>
      <c r="AD10" s="378"/>
      <c r="AE10" s="376" t="s">
        <v>226</v>
      </c>
      <c r="AF10" s="377"/>
      <c r="AG10" s="377"/>
      <c r="AH10" s="377"/>
      <c r="AI10" s="377"/>
      <c r="AJ10" s="378"/>
      <c r="AK10" s="376"/>
      <c r="AL10" s="377"/>
      <c r="AM10" s="377"/>
      <c r="AN10" s="377"/>
      <c r="AO10" s="377"/>
      <c r="AP10" s="378"/>
      <c r="AQ10" s="376" t="s">
        <v>226</v>
      </c>
      <c r="AR10" s="377"/>
      <c r="AS10" s="377"/>
      <c r="AT10" s="377"/>
      <c r="AU10" s="377"/>
      <c r="AV10" s="378"/>
      <c r="AW10" s="376" t="s">
        <v>226</v>
      </c>
      <c r="AX10" s="377"/>
      <c r="AY10" s="377"/>
      <c r="AZ10" s="377"/>
      <c r="BA10" s="377"/>
      <c r="BB10" s="378"/>
    </row>
    <row r="11" spans="1:54" s="34" customFormat="1" ht="35.1" customHeight="1">
      <c r="A11" s="376"/>
      <c r="B11" s="377"/>
      <c r="C11" s="377"/>
      <c r="D11" s="377"/>
      <c r="E11" s="377"/>
      <c r="F11" s="378"/>
      <c r="G11" s="376"/>
      <c r="H11" s="377"/>
      <c r="I11" s="377"/>
      <c r="J11" s="377"/>
      <c r="K11" s="377"/>
      <c r="L11" s="378"/>
      <c r="M11" s="376"/>
      <c r="N11" s="377"/>
      <c r="O11" s="377"/>
      <c r="P11" s="377"/>
      <c r="Q11" s="377"/>
      <c r="R11" s="378"/>
      <c r="S11" s="376"/>
      <c r="T11" s="377"/>
      <c r="U11" s="377"/>
      <c r="V11" s="377"/>
      <c r="W11" s="377"/>
      <c r="X11" s="378"/>
      <c r="Y11" s="376"/>
      <c r="Z11" s="377"/>
      <c r="AA11" s="377"/>
      <c r="AB11" s="377"/>
      <c r="AC11" s="377"/>
      <c r="AD11" s="378"/>
      <c r="AE11" s="376"/>
      <c r="AF11" s="377"/>
      <c r="AG11" s="377"/>
      <c r="AH11" s="377"/>
      <c r="AI11" s="377"/>
      <c r="AJ11" s="378"/>
      <c r="AK11" s="376"/>
      <c r="AL11" s="377"/>
      <c r="AM11" s="377"/>
      <c r="AN11" s="377"/>
      <c r="AO11" s="377"/>
      <c r="AP11" s="378"/>
      <c r="AQ11" s="376"/>
      <c r="AR11" s="377"/>
      <c r="AS11" s="377"/>
      <c r="AT11" s="377"/>
      <c r="AU11" s="377"/>
      <c r="AV11" s="378"/>
      <c r="AW11" s="376"/>
      <c r="AX11" s="377"/>
      <c r="AY11" s="377"/>
      <c r="AZ11" s="377"/>
      <c r="BA11" s="377"/>
      <c r="BB11" s="378"/>
    </row>
    <row r="12" spans="1:54" s="34" customFormat="1" ht="35.1" customHeight="1">
      <c r="A12" s="376"/>
      <c r="B12" s="377"/>
      <c r="C12" s="377"/>
      <c r="D12" s="377"/>
      <c r="E12" s="377"/>
      <c r="F12" s="378"/>
      <c r="G12" s="376"/>
      <c r="H12" s="377"/>
      <c r="I12" s="377"/>
      <c r="J12" s="377"/>
      <c r="K12" s="377"/>
      <c r="L12" s="378"/>
      <c r="M12" s="376"/>
      <c r="N12" s="377"/>
      <c r="O12" s="377"/>
      <c r="P12" s="377"/>
      <c r="Q12" s="377"/>
      <c r="R12" s="378"/>
      <c r="S12" s="376"/>
      <c r="T12" s="377"/>
      <c r="U12" s="377"/>
      <c r="V12" s="377"/>
      <c r="W12" s="377"/>
      <c r="X12" s="378"/>
      <c r="Y12" s="376"/>
      <c r="Z12" s="377"/>
      <c r="AA12" s="377"/>
      <c r="AB12" s="377"/>
      <c r="AC12" s="377"/>
      <c r="AD12" s="378"/>
      <c r="AE12" s="376"/>
      <c r="AF12" s="377"/>
      <c r="AG12" s="377"/>
      <c r="AH12" s="377"/>
      <c r="AI12" s="377"/>
      <c r="AJ12" s="378"/>
      <c r="AK12" s="376"/>
      <c r="AL12" s="377"/>
      <c r="AM12" s="377"/>
      <c r="AN12" s="377"/>
      <c r="AO12" s="377"/>
      <c r="AP12" s="378"/>
      <c r="AQ12" s="376"/>
      <c r="AR12" s="377"/>
      <c r="AS12" s="377"/>
      <c r="AT12" s="377"/>
      <c r="AU12" s="377"/>
      <c r="AV12" s="378"/>
      <c r="AW12" s="376"/>
      <c r="AX12" s="377"/>
      <c r="AY12" s="377"/>
      <c r="AZ12" s="377"/>
      <c r="BA12" s="377"/>
      <c r="BB12" s="378"/>
    </row>
    <row r="13" spans="1:54" s="34" customFormat="1" ht="35.1" customHeight="1">
      <c r="A13" s="376"/>
      <c r="B13" s="377"/>
      <c r="C13" s="377"/>
      <c r="D13" s="377"/>
      <c r="E13" s="377"/>
      <c r="F13" s="378"/>
      <c r="G13" s="376"/>
      <c r="H13" s="377"/>
      <c r="I13" s="377"/>
      <c r="J13" s="377"/>
      <c r="K13" s="377"/>
      <c r="L13" s="378"/>
      <c r="M13" s="376"/>
      <c r="N13" s="377"/>
      <c r="O13" s="377"/>
      <c r="P13" s="377"/>
      <c r="Q13" s="377"/>
      <c r="R13" s="378"/>
      <c r="S13" s="376"/>
      <c r="T13" s="377"/>
      <c r="U13" s="377"/>
      <c r="V13" s="377"/>
      <c r="W13" s="377"/>
      <c r="X13" s="378"/>
      <c r="Y13" s="376"/>
      <c r="Z13" s="377"/>
      <c r="AA13" s="377"/>
      <c r="AB13" s="377"/>
      <c r="AC13" s="377"/>
      <c r="AD13" s="378"/>
      <c r="AE13" s="376"/>
      <c r="AF13" s="377"/>
      <c r="AG13" s="377"/>
      <c r="AH13" s="377"/>
      <c r="AI13" s="377"/>
      <c r="AJ13" s="378"/>
      <c r="AK13" s="376"/>
      <c r="AL13" s="377"/>
      <c r="AM13" s="377"/>
      <c r="AN13" s="377"/>
      <c r="AO13" s="377"/>
      <c r="AP13" s="378"/>
      <c r="AQ13" s="376"/>
      <c r="AR13" s="377"/>
      <c r="AS13" s="377"/>
      <c r="AT13" s="377"/>
      <c r="AU13" s="377"/>
      <c r="AV13" s="378"/>
      <c r="AW13" s="376"/>
      <c r="AX13" s="377"/>
      <c r="AY13" s="377"/>
      <c r="AZ13" s="377"/>
      <c r="BA13" s="377"/>
      <c r="BB13" s="378"/>
    </row>
    <row r="14" spans="1:54" s="34" customFormat="1" ht="20.100000000000001" customHeight="1">
      <c r="A14" s="376" t="s">
        <v>227</v>
      </c>
      <c r="B14" s="377"/>
      <c r="C14" s="377"/>
      <c r="D14" s="377"/>
      <c r="E14" s="377"/>
      <c r="F14" s="378"/>
      <c r="G14" s="376" t="s">
        <v>226</v>
      </c>
      <c r="H14" s="377"/>
      <c r="I14" s="377"/>
      <c r="J14" s="377"/>
      <c r="K14" s="377"/>
      <c r="L14" s="378"/>
      <c r="M14" s="376" t="s">
        <v>226</v>
      </c>
      <c r="N14" s="377"/>
      <c r="O14" s="377"/>
      <c r="P14" s="377"/>
      <c r="Q14" s="377"/>
      <c r="R14" s="378"/>
      <c r="S14" s="376" t="s">
        <v>226</v>
      </c>
      <c r="T14" s="377"/>
      <c r="U14" s="377"/>
      <c r="V14" s="377"/>
      <c r="W14" s="377"/>
      <c r="X14" s="378"/>
      <c r="Y14" s="376" t="s">
        <v>226</v>
      </c>
      <c r="Z14" s="377"/>
      <c r="AA14" s="377"/>
      <c r="AB14" s="377"/>
      <c r="AC14" s="377"/>
      <c r="AD14" s="378"/>
      <c r="AE14" s="376" t="s">
        <v>226</v>
      </c>
      <c r="AF14" s="377"/>
      <c r="AG14" s="377"/>
      <c r="AH14" s="377"/>
      <c r="AI14" s="377"/>
      <c r="AJ14" s="378"/>
      <c r="AK14" s="376"/>
      <c r="AL14" s="377"/>
      <c r="AM14" s="377"/>
      <c r="AN14" s="377"/>
      <c r="AO14" s="377"/>
      <c r="AP14" s="378"/>
      <c r="AQ14" s="376" t="s">
        <v>226</v>
      </c>
      <c r="AR14" s="377"/>
      <c r="AS14" s="377"/>
      <c r="AT14" s="377"/>
      <c r="AU14" s="377"/>
      <c r="AV14" s="378"/>
      <c r="AW14" s="376" t="s">
        <v>226</v>
      </c>
      <c r="AX14" s="377"/>
      <c r="AY14" s="377"/>
      <c r="AZ14" s="377"/>
      <c r="BA14" s="377"/>
      <c r="BB14" s="378"/>
    </row>
    <row r="15" spans="1:54" s="34" customFormat="1" ht="20.100000000000001" customHeight="1">
      <c r="A15" s="376"/>
      <c r="B15" s="377"/>
      <c r="C15" s="377"/>
      <c r="D15" s="377"/>
      <c r="E15" s="377"/>
      <c r="F15" s="378"/>
      <c r="G15" s="376"/>
      <c r="H15" s="377"/>
      <c r="I15" s="377"/>
      <c r="J15" s="377"/>
      <c r="K15" s="377"/>
      <c r="L15" s="378"/>
      <c r="M15" s="376"/>
      <c r="N15" s="377"/>
      <c r="O15" s="377"/>
      <c r="P15" s="377"/>
      <c r="Q15" s="377"/>
      <c r="R15" s="378"/>
      <c r="S15" s="376"/>
      <c r="T15" s="377"/>
      <c r="U15" s="377"/>
      <c r="V15" s="377"/>
      <c r="W15" s="377"/>
      <c r="X15" s="378"/>
      <c r="Y15" s="376"/>
      <c r="Z15" s="377"/>
      <c r="AA15" s="377"/>
      <c r="AB15" s="377"/>
      <c r="AC15" s="377"/>
      <c r="AD15" s="378"/>
      <c r="AE15" s="376"/>
      <c r="AF15" s="377"/>
      <c r="AG15" s="377"/>
      <c r="AH15" s="377"/>
      <c r="AI15" s="377"/>
      <c r="AJ15" s="378"/>
      <c r="AK15" s="376"/>
      <c r="AL15" s="377"/>
      <c r="AM15" s="377"/>
      <c r="AN15" s="377"/>
      <c r="AO15" s="377"/>
      <c r="AP15" s="378"/>
      <c r="AQ15" s="376"/>
      <c r="AR15" s="377"/>
      <c r="AS15" s="377"/>
      <c r="AT15" s="377"/>
      <c r="AU15" s="377"/>
      <c r="AV15" s="378"/>
      <c r="AW15" s="376"/>
      <c r="AX15" s="377"/>
      <c r="AY15" s="377"/>
      <c r="AZ15" s="377"/>
      <c r="BA15" s="377"/>
      <c r="BB15" s="378"/>
    </row>
    <row r="16" spans="1:54" s="34" customFormat="1" ht="20.100000000000001" customHeight="1">
      <c r="A16" s="376"/>
      <c r="B16" s="377"/>
      <c r="C16" s="377"/>
      <c r="D16" s="377"/>
      <c r="E16" s="377"/>
      <c r="F16" s="378"/>
      <c r="G16" s="376"/>
      <c r="H16" s="377"/>
      <c r="I16" s="377"/>
      <c r="J16" s="377"/>
      <c r="K16" s="377"/>
      <c r="L16" s="378"/>
      <c r="M16" s="376"/>
      <c r="N16" s="377"/>
      <c r="O16" s="377"/>
      <c r="P16" s="377"/>
      <c r="Q16" s="377"/>
      <c r="R16" s="378"/>
      <c r="S16" s="376"/>
      <c r="T16" s="377"/>
      <c r="U16" s="377"/>
      <c r="V16" s="377"/>
      <c r="W16" s="377"/>
      <c r="X16" s="378"/>
      <c r="Y16" s="376"/>
      <c r="Z16" s="377"/>
      <c r="AA16" s="377"/>
      <c r="AB16" s="377"/>
      <c r="AC16" s="377"/>
      <c r="AD16" s="378"/>
      <c r="AE16" s="376"/>
      <c r="AF16" s="377"/>
      <c r="AG16" s="377"/>
      <c r="AH16" s="377"/>
      <c r="AI16" s="377"/>
      <c r="AJ16" s="378"/>
      <c r="AK16" s="376"/>
      <c r="AL16" s="377"/>
      <c r="AM16" s="377"/>
      <c r="AN16" s="377"/>
      <c r="AO16" s="377"/>
      <c r="AP16" s="378"/>
      <c r="AQ16" s="376"/>
      <c r="AR16" s="377"/>
      <c r="AS16" s="377"/>
      <c r="AT16" s="377"/>
      <c r="AU16" s="377"/>
      <c r="AV16" s="378"/>
      <c r="AW16" s="376"/>
      <c r="AX16" s="377"/>
      <c r="AY16" s="377"/>
      <c r="AZ16" s="377"/>
      <c r="BA16" s="377"/>
      <c r="BB16" s="378"/>
    </row>
    <row r="17" spans="1:54" s="34" customFormat="1" ht="20.100000000000001" customHeight="1" thickBot="1">
      <c r="A17" s="373"/>
      <c r="B17" s="374"/>
      <c r="C17" s="374"/>
      <c r="D17" s="374"/>
      <c r="E17" s="374"/>
      <c r="F17" s="375"/>
      <c r="G17" s="373"/>
      <c r="H17" s="374"/>
      <c r="I17" s="374"/>
      <c r="J17" s="374"/>
      <c r="K17" s="374"/>
      <c r="L17" s="375"/>
      <c r="M17" s="373"/>
      <c r="N17" s="374"/>
      <c r="O17" s="374"/>
      <c r="P17" s="374"/>
      <c r="Q17" s="374"/>
      <c r="R17" s="37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Q17" s="373"/>
      <c r="AR17" s="374"/>
      <c r="AS17" s="374"/>
      <c r="AT17" s="374"/>
      <c r="AU17" s="374"/>
      <c r="AV17" s="375"/>
      <c r="AW17" s="373"/>
      <c r="AX17" s="374"/>
      <c r="AY17" s="374"/>
      <c r="AZ17" s="374"/>
      <c r="BA17" s="374"/>
      <c r="BB17" s="375"/>
    </row>
  </sheetData>
  <mergeCells count="45">
    <mergeCell ref="AQ1:AV1"/>
    <mergeCell ref="AQ2:AV5"/>
    <mergeCell ref="AQ6:AV9"/>
    <mergeCell ref="AQ10:AV13"/>
    <mergeCell ref="AK14:AP17"/>
    <mergeCell ref="AK1:AP1"/>
    <mergeCell ref="AK2:AP5"/>
    <mergeCell ref="AK6:AP9"/>
    <mergeCell ref="AK10:AP13"/>
    <mergeCell ref="AQ14:AV17"/>
    <mergeCell ref="AW1:BB1"/>
    <mergeCell ref="AW2:BB5"/>
    <mergeCell ref="AW6:BB9"/>
    <mergeCell ref="AW10:BB13"/>
    <mergeCell ref="AW14:BB17"/>
    <mergeCell ref="Y14:AD17"/>
    <mergeCell ref="AE1:AJ1"/>
    <mergeCell ref="AE2:AJ5"/>
    <mergeCell ref="AE6:AJ9"/>
    <mergeCell ref="AE10:AJ13"/>
    <mergeCell ref="AE14:AJ17"/>
    <mergeCell ref="Y1:AD1"/>
    <mergeCell ref="Y2:AD5"/>
    <mergeCell ref="Y6:AD9"/>
    <mergeCell ref="Y10:AD13"/>
    <mergeCell ref="M10:R13"/>
    <mergeCell ref="M14:R17"/>
    <mergeCell ref="S1:X1"/>
    <mergeCell ref="S2:X5"/>
    <mergeCell ref="S6:X9"/>
    <mergeCell ref="S10:X13"/>
    <mergeCell ref="S14:X17"/>
    <mergeCell ref="M1:R1"/>
    <mergeCell ref="M2:R5"/>
    <mergeCell ref="M6:R9"/>
    <mergeCell ref="G1:L1"/>
    <mergeCell ref="A1:F1"/>
    <mergeCell ref="A6:F9"/>
    <mergeCell ref="A10:F13"/>
    <mergeCell ref="A14:F17"/>
    <mergeCell ref="A2:F5"/>
    <mergeCell ref="G6:L9"/>
    <mergeCell ref="G10:L13"/>
    <mergeCell ref="G14:L17"/>
    <mergeCell ref="G2:L5"/>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
  <sheetViews>
    <sheetView zoomScaleNormal="100" workbookViewId="0">
      <selection activeCell="A7" sqref="A7"/>
    </sheetView>
  </sheetViews>
  <sheetFormatPr baseColWidth="10" defaultRowHeight="12.75"/>
  <sheetData>
    <row r="1" spans="1:60" ht="13.5" thickBot="1">
      <c r="A1" s="544">
        <v>1</v>
      </c>
      <c r="B1" s="545"/>
      <c r="C1" s="545"/>
      <c r="D1" s="545"/>
      <c r="E1" s="545"/>
      <c r="F1" s="546"/>
      <c r="G1" s="544">
        <v>2</v>
      </c>
      <c r="H1" s="545"/>
      <c r="I1" s="545"/>
      <c r="J1" s="545"/>
      <c r="K1" s="545"/>
      <c r="L1" s="546"/>
      <c r="M1" s="544">
        <v>3</v>
      </c>
      <c r="N1" s="545"/>
      <c r="O1" s="545"/>
      <c r="P1" s="545"/>
      <c r="Q1" s="545"/>
      <c r="R1" s="546"/>
      <c r="S1" s="544">
        <v>4</v>
      </c>
      <c r="T1" s="545"/>
      <c r="U1" s="545"/>
      <c r="V1" s="545"/>
      <c r="W1" s="545"/>
      <c r="X1" s="546"/>
      <c r="Y1" s="544">
        <v>5</v>
      </c>
      <c r="Z1" s="545"/>
      <c r="AA1" s="545"/>
      <c r="AB1" s="545"/>
      <c r="AC1" s="545"/>
      <c r="AD1" s="546"/>
      <c r="AE1" s="544">
        <v>6</v>
      </c>
      <c r="AF1" s="545"/>
      <c r="AG1" s="545"/>
      <c r="AH1" s="545"/>
      <c r="AI1" s="545"/>
      <c r="AJ1" s="546"/>
      <c r="AK1" s="544">
        <v>7</v>
      </c>
      <c r="AL1" s="545"/>
      <c r="AM1" s="545"/>
      <c r="AN1" s="545"/>
      <c r="AO1" s="545"/>
      <c r="AP1" s="546"/>
      <c r="AQ1" s="544">
        <v>8</v>
      </c>
      <c r="AR1" s="545"/>
      <c r="AS1" s="545"/>
      <c r="AT1" s="545"/>
      <c r="AU1" s="545"/>
      <c r="AV1" s="546"/>
      <c r="AW1" s="544">
        <v>9</v>
      </c>
      <c r="AX1" s="545"/>
      <c r="AY1" s="545"/>
      <c r="AZ1" s="545"/>
      <c r="BA1" s="545"/>
      <c r="BB1" s="546"/>
      <c r="BC1" s="547"/>
      <c r="BD1" s="547"/>
      <c r="BE1" s="547"/>
      <c r="BF1" s="547"/>
      <c r="BG1" s="547"/>
      <c r="BH1" s="547"/>
    </row>
    <row r="2" spans="1:60" ht="78.75" customHeight="1" thickBot="1">
      <c r="A2" s="337" t="s">
        <v>228</v>
      </c>
      <c r="B2" s="338"/>
      <c r="C2" s="338"/>
      <c r="D2" s="338"/>
      <c r="E2" s="338"/>
      <c r="F2" s="339"/>
      <c r="G2" s="337" t="s">
        <v>229</v>
      </c>
      <c r="H2" s="338"/>
      <c r="I2" s="338"/>
      <c r="J2" s="338"/>
      <c r="K2" s="338"/>
      <c r="L2" s="339"/>
      <c r="M2" s="337" t="s">
        <v>230</v>
      </c>
      <c r="N2" s="338"/>
      <c r="O2" s="338"/>
      <c r="P2" s="338"/>
      <c r="Q2" s="338"/>
      <c r="R2" s="339"/>
      <c r="S2" s="337" t="s">
        <v>82</v>
      </c>
      <c r="T2" s="338"/>
      <c r="U2" s="338"/>
      <c r="V2" s="338"/>
      <c r="W2" s="338"/>
      <c r="X2" s="339"/>
      <c r="Y2" s="337" t="s">
        <v>83</v>
      </c>
      <c r="Z2" s="338"/>
      <c r="AA2" s="338"/>
      <c r="AB2" s="338"/>
      <c r="AC2" s="338"/>
      <c r="AD2" s="339"/>
      <c r="AE2" s="337" t="s">
        <v>84</v>
      </c>
      <c r="AF2" s="338"/>
      <c r="AG2" s="338"/>
      <c r="AH2" s="338"/>
      <c r="AI2" s="338"/>
      <c r="AJ2" s="339"/>
      <c r="AK2" s="337" t="s">
        <v>85</v>
      </c>
      <c r="AL2" s="338"/>
      <c r="AM2" s="338"/>
      <c r="AN2" s="338"/>
      <c r="AO2" s="338"/>
      <c r="AP2" s="339"/>
      <c r="AQ2" s="337" t="s">
        <v>86</v>
      </c>
      <c r="AR2" s="338"/>
      <c r="AS2" s="338"/>
      <c r="AT2" s="338"/>
      <c r="AU2" s="338"/>
      <c r="AV2" s="339"/>
      <c r="AW2" s="337" t="s">
        <v>329</v>
      </c>
      <c r="AX2" s="338"/>
      <c r="AY2" s="338"/>
      <c r="AZ2" s="338"/>
      <c r="BA2" s="338"/>
      <c r="BB2" s="339"/>
    </row>
  </sheetData>
  <mergeCells count="19">
    <mergeCell ref="AW1:BB1"/>
    <mergeCell ref="BC1:BH1"/>
    <mergeCell ref="AQ2:AV2"/>
    <mergeCell ref="AW2:BB2"/>
    <mergeCell ref="AE1:AJ1"/>
    <mergeCell ref="AK1:AP1"/>
    <mergeCell ref="AQ1:AV1"/>
    <mergeCell ref="S2:X2"/>
    <mergeCell ref="Y2:AD2"/>
    <mergeCell ref="AE2:AJ2"/>
    <mergeCell ref="AK2:AP2"/>
    <mergeCell ref="S1:X1"/>
    <mergeCell ref="Y1:AD1"/>
    <mergeCell ref="A1:F1"/>
    <mergeCell ref="A2:F2"/>
    <mergeCell ref="G2:L2"/>
    <mergeCell ref="M2:R2"/>
    <mergeCell ref="G1:L1"/>
    <mergeCell ref="M1:R1"/>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topLeftCell="C7" workbookViewId="0">
      <selection activeCell="A7" sqref="A7"/>
    </sheetView>
  </sheetViews>
  <sheetFormatPr baseColWidth="10" defaultRowHeight="12.75"/>
  <cols>
    <col min="1" max="1" width="3.7109375" style="31" hidden="1" customWidth="1"/>
    <col min="2" max="2" width="4.7109375" style="31" hidden="1" customWidth="1"/>
    <col min="3" max="3" width="10.140625" bestFit="1" customWidth="1"/>
    <col min="4" max="4" width="3.7109375" style="31" hidden="1" customWidth="1"/>
    <col min="5" max="5" width="4.7109375" style="31" hidden="1" customWidth="1"/>
    <col min="6" max="6" width="10.140625" bestFit="1" customWidth="1"/>
    <col min="7" max="7" width="12.28515625" bestFit="1" customWidth="1"/>
    <col min="8" max="16" width="3" bestFit="1" customWidth="1"/>
    <col min="18" max="26" width="3" bestFit="1" customWidth="1"/>
  </cols>
  <sheetData>
    <row r="1" spans="1:26" ht="15" thickBot="1">
      <c r="C1" s="19">
        <v>1</v>
      </c>
      <c r="F1" s="19">
        <v>2</v>
      </c>
      <c r="G1" s="20">
        <v>3</v>
      </c>
      <c r="H1" s="19">
        <v>4</v>
      </c>
      <c r="I1" s="19">
        <v>5</v>
      </c>
      <c r="J1" s="19">
        <v>6</v>
      </c>
      <c r="K1" s="19">
        <v>7</v>
      </c>
      <c r="L1" s="19">
        <v>8</v>
      </c>
      <c r="M1" s="19">
        <v>9</v>
      </c>
      <c r="N1" s="19">
        <v>10</v>
      </c>
      <c r="O1" s="19">
        <v>11</v>
      </c>
      <c r="P1" s="19">
        <v>12</v>
      </c>
      <c r="Q1" s="19"/>
      <c r="R1" s="19"/>
      <c r="S1" s="19"/>
      <c r="T1" s="19"/>
      <c r="U1" s="19"/>
      <c r="V1" s="19"/>
      <c r="W1" s="19"/>
      <c r="X1" s="19"/>
      <c r="Y1" s="19"/>
      <c r="Z1" s="19"/>
    </row>
    <row r="2" spans="1:26">
      <c r="A2" s="550" t="s">
        <v>330</v>
      </c>
      <c r="B2" s="326"/>
      <c r="C2" s="326"/>
      <c r="D2" s="326"/>
      <c r="E2" s="326"/>
      <c r="F2" s="326"/>
      <c r="G2" s="52" t="s">
        <v>198</v>
      </c>
      <c r="H2" s="548" t="s">
        <v>331</v>
      </c>
      <c r="I2" s="548"/>
      <c r="J2" s="548"/>
      <c r="K2" s="548"/>
      <c r="L2" s="548"/>
      <c r="M2" s="548"/>
      <c r="N2" s="548"/>
      <c r="O2" s="548"/>
      <c r="P2" s="549"/>
      <c r="R2" s="548"/>
      <c r="S2" s="548"/>
      <c r="T2" s="548"/>
      <c r="U2" s="548"/>
      <c r="V2" s="548"/>
      <c r="W2" s="548"/>
      <c r="X2" s="548"/>
      <c r="Y2" s="548"/>
      <c r="Z2" s="549"/>
    </row>
    <row r="3" spans="1:26" ht="21">
      <c r="A3" s="125" t="s">
        <v>319</v>
      </c>
      <c r="B3" s="25" t="s">
        <v>320</v>
      </c>
      <c r="C3" s="121" t="s">
        <v>332</v>
      </c>
      <c r="D3" s="25" t="s">
        <v>319</v>
      </c>
      <c r="E3" s="25" t="s">
        <v>320</v>
      </c>
      <c r="F3" s="121" t="s">
        <v>333</v>
      </c>
      <c r="G3" s="122" t="s">
        <v>334</v>
      </c>
      <c r="H3" s="21">
        <v>1</v>
      </c>
      <c r="I3" s="22">
        <v>2</v>
      </c>
      <c r="J3" s="23">
        <v>3</v>
      </c>
      <c r="K3" s="21">
        <v>4</v>
      </c>
      <c r="L3" s="22">
        <v>5</v>
      </c>
      <c r="M3" s="23">
        <v>6</v>
      </c>
      <c r="N3" s="21">
        <v>7</v>
      </c>
      <c r="O3" s="22">
        <v>8</v>
      </c>
      <c r="P3" s="24">
        <v>9</v>
      </c>
      <c r="Q3" s="124">
        <v>1</v>
      </c>
      <c r="R3" s="21">
        <v>1</v>
      </c>
      <c r="S3" s="22">
        <v>2</v>
      </c>
      <c r="T3" s="23">
        <v>3</v>
      </c>
      <c r="U3" s="21">
        <v>4</v>
      </c>
      <c r="V3" s="22">
        <v>5</v>
      </c>
      <c r="W3" s="23">
        <v>6</v>
      </c>
      <c r="X3" s="21">
        <v>7</v>
      </c>
      <c r="Y3" s="22">
        <v>8</v>
      </c>
      <c r="Z3" s="24">
        <v>9</v>
      </c>
    </row>
    <row r="4" spans="1:26">
      <c r="A4" s="125">
        <v>8</v>
      </c>
      <c r="B4" s="25">
        <v>12</v>
      </c>
      <c r="C4" s="123">
        <f ca="1">DATE(YEAR(TODAY())-1,B4,A4)</f>
        <v>44538</v>
      </c>
      <c r="D4" s="25">
        <v>5</v>
      </c>
      <c r="E4" s="25">
        <v>1</v>
      </c>
      <c r="F4" s="123">
        <f ca="1">DATE(YEAR(TODAY()),E4,D4)</f>
        <v>44566</v>
      </c>
      <c r="G4" s="25">
        <f t="shared" ref="G4:G15" ca="1" si="0">DAYS360(C4,F4)</f>
        <v>27</v>
      </c>
      <c r="H4" s="26">
        <v>7</v>
      </c>
      <c r="I4" s="26">
        <v>1</v>
      </c>
      <c r="J4" s="26">
        <v>4</v>
      </c>
      <c r="K4" s="26">
        <v>7</v>
      </c>
      <c r="L4" s="26">
        <v>1</v>
      </c>
      <c r="M4" s="26">
        <v>4</v>
      </c>
      <c r="N4" s="26">
        <v>7</v>
      </c>
      <c r="O4" s="26">
        <v>1</v>
      </c>
      <c r="P4" s="27">
        <v>4</v>
      </c>
      <c r="Q4" s="124">
        <v>2</v>
      </c>
      <c r="R4" s="26">
        <v>7</v>
      </c>
      <c r="S4" s="26">
        <v>1</v>
      </c>
      <c r="T4" s="26">
        <v>4</v>
      </c>
      <c r="U4" s="26">
        <v>7</v>
      </c>
      <c r="V4" s="26">
        <v>1</v>
      </c>
      <c r="W4" s="26">
        <v>4</v>
      </c>
      <c r="X4" s="26">
        <v>7</v>
      </c>
      <c r="Y4" s="26">
        <v>1</v>
      </c>
      <c r="Z4" s="27">
        <v>4</v>
      </c>
    </row>
    <row r="5" spans="1:26">
      <c r="A5" s="125">
        <v>6</v>
      </c>
      <c r="B5" s="25">
        <v>1</v>
      </c>
      <c r="C5" s="123">
        <f ca="1">DATE(YEAR(TODAY()),B5,A5)</f>
        <v>44567</v>
      </c>
      <c r="D5" s="25">
        <v>3</v>
      </c>
      <c r="E5" s="25">
        <v>2</v>
      </c>
      <c r="F5" s="123">
        <f ca="1">DATE(YEAR(TODAY()),E5,D5)</f>
        <v>44595</v>
      </c>
      <c r="G5" s="25">
        <f t="shared" ca="1" si="0"/>
        <v>27</v>
      </c>
      <c r="H5" s="26">
        <v>6</v>
      </c>
      <c r="I5" s="26">
        <v>9</v>
      </c>
      <c r="J5" s="26">
        <v>3</v>
      </c>
      <c r="K5" s="26">
        <v>6</v>
      </c>
      <c r="L5" s="26">
        <v>9</v>
      </c>
      <c r="M5" s="26">
        <v>3</v>
      </c>
      <c r="N5" s="26">
        <v>6</v>
      </c>
      <c r="O5" s="26">
        <v>9</v>
      </c>
      <c r="P5" s="27">
        <v>3</v>
      </c>
      <c r="Q5" s="124">
        <v>3</v>
      </c>
      <c r="R5" s="26">
        <v>6</v>
      </c>
      <c r="S5" s="26">
        <v>9</v>
      </c>
      <c r="T5" s="26">
        <v>3</v>
      </c>
      <c r="U5" s="26">
        <v>6</v>
      </c>
      <c r="V5" s="26">
        <v>9</v>
      </c>
      <c r="W5" s="26">
        <v>3</v>
      </c>
      <c r="X5" s="26">
        <v>6</v>
      </c>
      <c r="Y5" s="26">
        <v>9</v>
      </c>
      <c r="Z5" s="27">
        <v>3</v>
      </c>
    </row>
    <row r="6" spans="1:26">
      <c r="A6" s="125">
        <v>4</v>
      </c>
      <c r="B6" s="25">
        <v>2</v>
      </c>
      <c r="C6" s="123">
        <f ca="1">DATE(YEAR(TODAY()),B6,A6)</f>
        <v>44596</v>
      </c>
      <c r="D6" s="25">
        <v>5</v>
      </c>
      <c r="E6" s="25">
        <v>3</v>
      </c>
      <c r="F6" s="123">
        <f ca="1">DATE(YEAR(TODAY()),E6,D6)</f>
        <v>44625</v>
      </c>
      <c r="G6" s="25">
        <f t="shared" ca="1" si="0"/>
        <v>31</v>
      </c>
      <c r="H6" s="26">
        <v>8</v>
      </c>
      <c r="I6" s="26">
        <v>2</v>
      </c>
      <c r="J6" s="26">
        <v>5</v>
      </c>
      <c r="K6" s="26">
        <v>8</v>
      </c>
      <c r="L6" s="26">
        <v>2</v>
      </c>
      <c r="M6" s="26">
        <v>5</v>
      </c>
      <c r="N6" s="26">
        <v>8</v>
      </c>
      <c r="O6" s="26">
        <v>2</v>
      </c>
      <c r="P6" s="27">
        <v>5</v>
      </c>
      <c r="Q6" s="124">
        <v>4</v>
      </c>
      <c r="R6" s="26">
        <v>8</v>
      </c>
      <c r="S6" s="26">
        <v>2</v>
      </c>
      <c r="T6" s="26">
        <v>5</v>
      </c>
      <c r="U6" s="26">
        <v>8</v>
      </c>
      <c r="V6" s="26">
        <v>2</v>
      </c>
      <c r="W6" s="26">
        <v>5</v>
      </c>
      <c r="X6" s="26">
        <v>8</v>
      </c>
      <c r="Y6" s="26">
        <v>2</v>
      </c>
      <c r="Z6" s="27">
        <v>5</v>
      </c>
    </row>
    <row r="7" spans="1:26">
      <c r="A7" s="125">
        <v>6</v>
      </c>
      <c r="B7" s="25">
        <v>3</v>
      </c>
      <c r="C7" s="123">
        <f t="shared" ref="C7:C15" ca="1" si="1">DATE(YEAR(TODAY()),B7,A7)</f>
        <v>44626</v>
      </c>
      <c r="D7" s="25">
        <v>5</v>
      </c>
      <c r="E7" s="25">
        <v>4</v>
      </c>
      <c r="F7" s="123">
        <f t="shared" ref="F7:F15" ca="1" si="2">DATE(YEAR(TODAY()),E7,D7)</f>
        <v>44656</v>
      </c>
      <c r="G7" s="25">
        <f t="shared" ca="1" si="0"/>
        <v>29</v>
      </c>
      <c r="H7" s="26">
        <v>7</v>
      </c>
      <c r="I7" s="26">
        <v>1</v>
      </c>
      <c r="J7" s="26">
        <v>4</v>
      </c>
      <c r="K7" s="26">
        <v>7</v>
      </c>
      <c r="L7" s="26">
        <v>1</v>
      </c>
      <c r="M7" s="26">
        <v>4</v>
      </c>
      <c r="N7" s="26">
        <v>7</v>
      </c>
      <c r="O7" s="26">
        <v>1</v>
      </c>
      <c r="P7" s="27">
        <v>4</v>
      </c>
      <c r="Q7" s="124">
        <v>5</v>
      </c>
      <c r="R7" s="26">
        <v>7</v>
      </c>
      <c r="S7" s="26">
        <v>1</v>
      </c>
      <c r="T7" s="26">
        <v>4</v>
      </c>
      <c r="U7" s="26">
        <v>7</v>
      </c>
      <c r="V7" s="26">
        <v>1</v>
      </c>
      <c r="W7" s="26">
        <v>4</v>
      </c>
      <c r="X7" s="26">
        <v>7</v>
      </c>
      <c r="Y7" s="26">
        <v>1</v>
      </c>
      <c r="Z7" s="27">
        <v>4</v>
      </c>
    </row>
    <row r="8" spans="1:26">
      <c r="A8" s="125">
        <v>6</v>
      </c>
      <c r="B8" s="25">
        <v>4</v>
      </c>
      <c r="C8" s="123">
        <f t="shared" ca="1" si="1"/>
        <v>44657</v>
      </c>
      <c r="D8" s="25">
        <v>5</v>
      </c>
      <c r="E8" s="25">
        <v>5</v>
      </c>
      <c r="F8" s="123">
        <f t="shared" ca="1" si="2"/>
        <v>44686</v>
      </c>
      <c r="G8" s="25">
        <f t="shared" ca="1" si="0"/>
        <v>29</v>
      </c>
      <c r="H8" s="26">
        <v>6</v>
      </c>
      <c r="I8" s="26">
        <v>9</v>
      </c>
      <c r="J8" s="26">
        <v>3</v>
      </c>
      <c r="K8" s="26">
        <v>6</v>
      </c>
      <c r="L8" s="26">
        <v>9</v>
      </c>
      <c r="M8" s="26">
        <v>3</v>
      </c>
      <c r="N8" s="26">
        <v>6</v>
      </c>
      <c r="O8" s="26">
        <v>9</v>
      </c>
      <c r="P8" s="27">
        <v>3</v>
      </c>
      <c r="Q8" s="124">
        <v>6</v>
      </c>
      <c r="R8" s="26">
        <v>6</v>
      </c>
      <c r="S8" s="26">
        <v>9</v>
      </c>
      <c r="T8" s="26">
        <v>3</v>
      </c>
      <c r="U8" s="26">
        <v>6</v>
      </c>
      <c r="V8" s="26">
        <v>9</v>
      </c>
      <c r="W8" s="26">
        <v>3</v>
      </c>
      <c r="X8" s="26">
        <v>6</v>
      </c>
      <c r="Y8" s="26">
        <v>9</v>
      </c>
      <c r="Z8" s="27">
        <v>3</v>
      </c>
    </row>
    <row r="9" spans="1:26">
      <c r="A9" s="125">
        <v>6</v>
      </c>
      <c r="B9" s="25">
        <v>5</v>
      </c>
      <c r="C9" s="123">
        <f t="shared" ca="1" si="1"/>
        <v>44687</v>
      </c>
      <c r="D9" s="25">
        <v>5</v>
      </c>
      <c r="E9" s="25">
        <v>6</v>
      </c>
      <c r="F9" s="123">
        <f t="shared" ca="1" si="2"/>
        <v>44717</v>
      </c>
      <c r="G9" s="25">
        <f t="shared" ca="1" si="0"/>
        <v>29</v>
      </c>
      <c r="H9" s="26">
        <v>5</v>
      </c>
      <c r="I9" s="26">
        <v>8</v>
      </c>
      <c r="J9" s="26">
        <v>2</v>
      </c>
      <c r="K9" s="26">
        <v>5</v>
      </c>
      <c r="L9" s="26">
        <v>8</v>
      </c>
      <c r="M9" s="26">
        <v>2</v>
      </c>
      <c r="N9" s="26">
        <v>5</v>
      </c>
      <c r="O9" s="26">
        <v>8</v>
      </c>
      <c r="P9" s="27">
        <v>2</v>
      </c>
      <c r="Q9" s="124">
        <v>7</v>
      </c>
      <c r="R9" s="26">
        <v>5</v>
      </c>
      <c r="S9" s="26">
        <v>8</v>
      </c>
      <c r="T9" s="26">
        <v>2</v>
      </c>
      <c r="U9" s="26">
        <v>5</v>
      </c>
      <c r="V9" s="26">
        <v>8</v>
      </c>
      <c r="W9" s="26">
        <v>2</v>
      </c>
      <c r="X9" s="26">
        <v>5</v>
      </c>
      <c r="Y9" s="26">
        <v>8</v>
      </c>
      <c r="Z9" s="27">
        <v>2</v>
      </c>
    </row>
    <row r="10" spans="1:26">
      <c r="A10" s="125">
        <v>6</v>
      </c>
      <c r="B10" s="25">
        <v>6</v>
      </c>
      <c r="C10" s="123">
        <f t="shared" ca="1" si="1"/>
        <v>44718</v>
      </c>
      <c r="D10" s="25">
        <v>7</v>
      </c>
      <c r="E10" s="25">
        <v>7</v>
      </c>
      <c r="F10" s="123">
        <f t="shared" ca="1" si="2"/>
        <v>44749</v>
      </c>
      <c r="G10" s="25">
        <f t="shared" ca="1" si="0"/>
        <v>31</v>
      </c>
      <c r="H10" s="26">
        <v>4</v>
      </c>
      <c r="I10" s="26">
        <v>7</v>
      </c>
      <c r="J10" s="26">
        <v>1</v>
      </c>
      <c r="K10" s="26">
        <v>4</v>
      </c>
      <c r="L10" s="26">
        <v>7</v>
      </c>
      <c r="M10" s="26">
        <v>1</v>
      </c>
      <c r="N10" s="26">
        <v>4</v>
      </c>
      <c r="O10" s="26">
        <v>7</v>
      </c>
      <c r="P10" s="27">
        <v>1</v>
      </c>
      <c r="Q10" s="124">
        <v>8</v>
      </c>
      <c r="R10" s="26">
        <v>4</v>
      </c>
      <c r="S10" s="26">
        <v>7</v>
      </c>
      <c r="T10" s="26">
        <v>1</v>
      </c>
      <c r="U10" s="26">
        <v>4</v>
      </c>
      <c r="V10" s="26">
        <v>7</v>
      </c>
      <c r="W10" s="26">
        <v>1</v>
      </c>
      <c r="X10" s="26">
        <v>4</v>
      </c>
      <c r="Y10" s="26">
        <v>7</v>
      </c>
      <c r="Z10" s="27">
        <v>1</v>
      </c>
    </row>
    <row r="11" spans="1:26">
      <c r="A11" s="125">
        <v>8</v>
      </c>
      <c r="B11" s="25">
        <v>7</v>
      </c>
      <c r="C11" s="123">
        <f t="shared" ca="1" si="1"/>
        <v>44750</v>
      </c>
      <c r="D11" s="25">
        <v>7</v>
      </c>
      <c r="E11" s="25">
        <v>8</v>
      </c>
      <c r="F11" s="123">
        <f t="shared" ca="1" si="2"/>
        <v>44780</v>
      </c>
      <c r="G11" s="25">
        <f t="shared" ca="1" si="0"/>
        <v>29</v>
      </c>
      <c r="H11" s="26">
        <v>3</v>
      </c>
      <c r="I11" s="26">
        <v>6</v>
      </c>
      <c r="J11" s="26">
        <v>9</v>
      </c>
      <c r="K11" s="26">
        <v>3</v>
      </c>
      <c r="L11" s="26">
        <v>6</v>
      </c>
      <c r="M11" s="26">
        <v>9</v>
      </c>
      <c r="N11" s="26">
        <v>3</v>
      </c>
      <c r="O11" s="26">
        <v>6</v>
      </c>
      <c r="P11" s="27">
        <v>9</v>
      </c>
      <c r="Q11" s="124">
        <v>9</v>
      </c>
      <c r="R11" s="26">
        <v>3</v>
      </c>
      <c r="S11" s="26">
        <v>6</v>
      </c>
      <c r="T11" s="26">
        <v>9</v>
      </c>
      <c r="U11" s="26">
        <v>3</v>
      </c>
      <c r="V11" s="26">
        <v>6</v>
      </c>
      <c r="W11" s="26">
        <v>9</v>
      </c>
      <c r="X11" s="26">
        <v>3</v>
      </c>
      <c r="Y11" s="26">
        <v>6</v>
      </c>
      <c r="Z11" s="27">
        <v>9</v>
      </c>
    </row>
    <row r="12" spans="1:26">
      <c r="A12" s="125">
        <v>8</v>
      </c>
      <c r="B12" s="25">
        <v>8</v>
      </c>
      <c r="C12" s="123">
        <f t="shared" ca="1" si="1"/>
        <v>44781</v>
      </c>
      <c r="D12" s="25">
        <v>7</v>
      </c>
      <c r="E12" s="25">
        <v>9</v>
      </c>
      <c r="F12" s="123">
        <f t="shared" ca="1" si="2"/>
        <v>44811</v>
      </c>
      <c r="G12" s="25">
        <f t="shared" ca="1" si="0"/>
        <v>29</v>
      </c>
      <c r="H12" s="26">
        <v>2</v>
      </c>
      <c r="I12" s="26">
        <v>5</v>
      </c>
      <c r="J12" s="26">
        <v>8</v>
      </c>
      <c r="K12" s="26">
        <v>2</v>
      </c>
      <c r="L12" s="26">
        <v>5</v>
      </c>
      <c r="M12" s="26">
        <v>8</v>
      </c>
      <c r="N12" s="26">
        <v>2</v>
      </c>
      <c r="O12" s="26">
        <v>5</v>
      </c>
      <c r="P12" s="27">
        <v>8</v>
      </c>
      <c r="Q12" s="124">
        <v>10</v>
      </c>
      <c r="R12" s="26">
        <v>2</v>
      </c>
      <c r="S12" s="26">
        <v>5</v>
      </c>
      <c r="T12" s="26">
        <v>8</v>
      </c>
      <c r="U12" s="26">
        <v>2</v>
      </c>
      <c r="V12" s="26">
        <v>5</v>
      </c>
      <c r="W12" s="26">
        <v>8</v>
      </c>
      <c r="X12" s="26">
        <v>2</v>
      </c>
      <c r="Y12" s="26">
        <v>5</v>
      </c>
      <c r="Z12" s="27">
        <v>8</v>
      </c>
    </row>
    <row r="13" spans="1:26">
      <c r="A13" s="125">
        <v>8</v>
      </c>
      <c r="B13" s="25">
        <v>9</v>
      </c>
      <c r="C13" s="123">
        <f t="shared" ca="1" si="1"/>
        <v>44812</v>
      </c>
      <c r="D13" s="25">
        <v>8</v>
      </c>
      <c r="E13" s="25">
        <v>10</v>
      </c>
      <c r="F13" s="123">
        <f t="shared" ca="1" si="2"/>
        <v>44842</v>
      </c>
      <c r="G13" s="25">
        <f t="shared" ca="1" si="0"/>
        <v>30</v>
      </c>
      <c r="H13" s="26">
        <v>1</v>
      </c>
      <c r="I13" s="26">
        <v>4</v>
      </c>
      <c r="J13" s="26">
        <v>7</v>
      </c>
      <c r="K13" s="26">
        <v>1</v>
      </c>
      <c r="L13" s="26">
        <v>4</v>
      </c>
      <c r="M13" s="26">
        <v>7</v>
      </c>
      <c r="N13" s="26">
        <v>1</v>
      </c>
      <c r="O13" s="26">
        <v>4</v>
      </c>
      <c r="P13" s="27">
        <v>7</v>
      </c>
      <c r="Q13" s="124">
        <v>11</v>
      </c>
      <c r="R13" s="26">
        <v>1</v>
      </c>
      <c r="S13" s="26">
        <v>4</v>
      </c>
      <c r="T13" s="26">
        <v>7</v>
      </c>
      <c r="U13" s="26">
        <v>1</v>
      </c>
      <c r="V13" s="26">
        <v>4</v>
      </c>
      <c r="W13" s="26">
        <v>7</v>
      </c>
      <c r="X13" s="26">
        <v>1</v>
      </c>
      <c r="Y13" s="26">
        <v>4</v>
      </c>
      <c r="Z13" s="27">
        <v>7</v>
      </c>
    </row>
    <row r="14" spans="1:26">
      <c r="A14" s="125">
        <v>9</v>
      </c>
      <c r="B14" s="25">
        <v>10</v>
      </c>
      <c r="C14" s="123">
        <f t="shared" ca="1" si="1"/>
        <v>44843</v>
      </c>
      <c r="D14" s="25">
        <v>7</v>
      </c>
      <c r="E14" s="25">
        <v>11</v>
      </c>
      <c r="F14" s="123">
        <f t="shared" ca="1" si="2"/>
        <v>44872</v>
      </c>
      <c r="G14" s="25">
        <f t="shared" ca="1" si="0"/>
        <v>28</v>
      </c>
      <c r="H14" s="26">
        <v>9</v>
      </c>
      <c r="I14" s="26">
        <v>3</v>
      </c>
      <c r="J14" s="26">
        <v>6</v>
      </c>
      <c r="K14" s="26">
        <v>9</v>
      </c>
      <c r="L14" s="26">
        <v>3</v>
      </c>
      <c r="M14" s="26">
        <v>6</v>
      </c>
      <c r="N14" s="26">
        <v>9</v>
      </c>
      <c r="O14" s="26">
        <v>3</v>
      </c>
      <c r="P14" s="27">
        <v>6</v>
      </c>
      <c r="Q14" s="124">
        <v>12</v>
      </c>
      <c r="R14" s="26">
        <v>9</v>
      </c>
      <c r="S14" s="26">
        <v>3</v>
      </c>
      <c r="T14" s="26">
        <v>6</v>
      </c>
      <c r="U14" s="26">
        <v>9</v>
      </c>
      <c r="V14" s="26">
        <v>3</v>
      </c>
      <c r="W14" s="26">
        <v>6</v>
      </c>
      <c r="X14" s="26">
        <v>9</v>
      </c>
      <c r="Y14" s="26">
        <v>3</v>
      </c>
      <c r="Z14" s="27">
        <v>6</v>
      </c>
    </row>
    <row r="15" spans="1:26" ht="13.5" thickBot="1">
      <c r="A15" s="126">
        <v>8</v>
      </c>
      <c r="B15" s="28">
        <v>11</v>
      </c>
      <c r="C15" s="127">
        <f t="shared" ca="1" si="1"/>
        <v>44873</v>
      </c>
      <c r="D15" s="28">
        <v>7</v>
      </c>
      <c r="E15" s="28">
        <v>12</v>
      </c>
      <c r="F15" s="127">
        <f t="shared" ca="1" si="2"/>
        <v>44902</v>
      </c>
      <c r="G15" s="28">
        <f t="shared" ca="1" si="0"/>
        <v>29</v>
      </c>
      <c r="H15" s="29">
        <v>8</v>
      </c>
      <c r="I15" s="29">
        <v>2</v>
      </c>
      <c r="J15" s="29">
        <v>5</v>
      </c>
      <c r="K15" s="29">
        <v>8</v>
      </c>
      <c r="L15" s="29">
        <v>2</v>
      </c>
      <c r="M15" s="29">
        <v>5</v>
      </c>
      <c r="N15" s="29">
        <v>8</v>
      </c>
      <c r="O15" s="29">
        <v>2</v>
      </c>
      <c r="P15" s="30">
        <v>5</v>
      </c>
      <c r="Q15" s="124">
        <v>13</v>
      </c>
      <c r="R15" s="29">
        <v>8</v>
      </c>
      <c r="S15" s="29">
        <v>2</v>
      </c>
      <c r="T15" s="29">
        <v>5</v>
      </c>
      <c r="U15" s="29">
        <v>8</v>
      </c>
      <c r="V15" s="29">
        <v>2</v>
      </c>
      <c r="W15" s="29">
        <v>5</v>
      </c>
      <c r="X15" s="29">
        <v>8</v>
      </c>
      <c r="Y15" s="29">
        <v>2</v>
      </c>
      <c r="Z15" s="30">
        <v>5</v>
      </c>
    </row>
    <row r="16" spans="1:26">
      <c r="G16" s="31"/>
    </row>
    <row r="17" spans="6:21">
      <c r="G17" s="31"/>
      <c r="H17" s="32"/>
      <c r="R17" s="32"/>
    </row>
    <row r="18" spans="6:21">
      <c r="G18" s="31"/>
    </row>
    <row r="19" spans="6:21">
      <c r="G19" s="31"/>
    </row>
    <row r="20" spans="6:21">
      <c r="G20" s="33">
        <f>+Ki!C8</f>
        <v>17520</v>
      </c>
      <c r="Q20" s="111">
        <f>DATE(Ki!AL4,Ki!AK4,Ki!AJ4)</f>
        <v>31779</v>
      </c>
    </row>
    <row r="21" spans="6:21">
      <c r="G21" s="33">
        <f ca="1">+Ki!G8</f>
        <v>44914</v>
      </c>
      <c r="Q21" s="111">
        <f ca="1">+G21</f>
        <v>44914</v>
      </c>
    </row>
    <row r="22" spans="6:21">
      <c r="G22" s="31" t="str">
        <f ca="1">IF(AND($G$21&gt;C4,G21&gt;F10),"NO",IF($G$21&lt;=F4,2,IF($G$21&lt;=F5,3,IF($G$21&lt;=F6,4,IF($G$21&lt;=F7,5,IF($G$21&lt;=F8,6,IF($G$21&lt;=F9,7,IF($G$21&lt;=F10,8,"NO"))))))))</f>
        <v>NO</v>
      </c>
      <c r="Q22" s="31" t="str">
        <f ca="1">IF(AND(Q21&gt;M4,Q21&gt;P10),"NO",IF(Q21&lt;=P4,2,IF(Q21&lt;=P5,3,IF(Q21&lt;=P6,4,IF(Q21&lt;=P7,5,IF(Q21&lt;=P8,6,IF(Q21&lt;=P9,7,IF(Q21&lt;=P10,8,"NO"))))))))</f>
        <v>NO</v>
      </c>
    </row>
    <row r="23" spans="6:21">
      <c r="G23" s="31" t="str">
        <f ca="1">IF(G22&lt;&gt;"NO","NO",IF($G$21&lt;=F11,9,IF($G$21&lt;=F12,10,IF($G$21&lt;=F13,11,IF($G$21&lt;=F14,12,IF($G$21&lt;=F15,13,"NO"))))))</f>
        <v>NO</v>
      </c>
      <c r="Q23" s="31" t="str">
        <f ca="1">IF(Q22&lt;&gt;"NO","NO",IF(Q21&lt;=P11,9,IF(Q21&lt;=P12,10,IF(Q21&lt;=P13,11,IF(Q21&lt;=P14,12,IF(Q21&lt;=P15,13,"NO"))))))</f>
        <v>NO</v>
      </c>
    </row>
    <row r="24" spans="6:21">
      <c r="G24" s="31">
        <f ca="1">IF(AND(G22="NO",G23="NO"),2,IF(G22="NO",G23,G22))</f>
        <v>2</v>
      </c>
      <c r="Q24" s="130">
        <f ca="1">IF(AND(Q22="NO",Q23="NO"),2,IF(Q22="NO",Q23,Q22))</f>
        <v>2</v>
      </c>
    </row>
    <row r="25" spans="6:21" ht="13.5" thickBot="1">
      <c r="G25" s="31">
        <f ca="1">HLOOKUP(Ki!I19,F3:P15,G24)</f>
        <v>1</v>
      </c>
      <c r="Q25" s="130">
        <f ca="1">HLOOKUP(Ki!AK7,F3:P15,Q24)</f>
        <v>7</v>
      </c>
    </row>
    <row r="26" spans="6:21" ht="12.75" customHeight="1">
      <c r="F26" s="385" t="s">
        <v>165</v>
      </c>
      <c r="G26" s="386"/>
      <c r="H26" s="386"/>
      <c r="I26" s="387"/>
      <c r="K26" s="385">
        <f>+Ki!I19</f>
        <v>8</v>
      </c>
      <c r="L26" s="386"/>
      <c r="M26" s="387"/>
      <c r="Q26" s="547"/>
      <c r="S26" s="547"/>
      <c r="T26" s="547"/>
      <c r="U26" s="547"/>
    </row>
    <row r="27" spans="6:21" ht="12.75" customHeight="1">
      <c r="F27" s="388"/>
      <c r="G27" s="389"/>
      <c r="H27" s="389"/>
      <c r="I27" s="390"/>
      <c r="K27" s="388"/>
      <c r="L27" s="389"/>
      <c r="M27" s="390"/>
      <c r="Q27" s="547"/>
      <c r="S27" s="547"/>
      <c r="T27" s="547"/>
      <c r="U27" s="547"/>
    </row>
    <row r="28" spans="6:21" ht="12.75" customHeight="1">
      <c r="F28" s="388"/>
      <c r="G28" s="389"/>
      <c r="H28" s="389"/>
      <c r="I28" s="390"/>
      <c r="K28" s="388"/>
      <c r="L28" s="389"/>
      <c r="M28" s="390"/>
      <c r="Q28" s="547"/>
      <c r="S28" s="547"/>
      <c r="T28" s="547"/>
      <c r="U28" s="547"/>
    </row>
    <row r="29" spans="6:21" ht="12.75" customHeight="1">
      <c r="F29" s="388"/>
      <c r="G29" s="389"/>
      <c r="H29" s="389"/>
      <c r="I29" s="390"/>
      <c r="K29" s="388"/>
      <c r="L29" s="389"/>
      <c r="M29" s="390"/>
      <c r="Q29" s="547"/>
      <c r="S29" s="547"/>
      <c r="T29" s="547"/>
      <c r="U29" s="547"/>
    </row>
    <row r="30" spans="6:21" ht="13.5" customHeight="1" thickBot="1">
      <c r="F30" s="391"/>
      <c r="G30" s="392"/>
      <c r="H30" s="392"/>
      <c r="I30" s="393"/>
      <c r="K30" s="391"/>
      <c r="L30" s="392"/>
      <c r="M30" s="393"/>
      <c r="Q30" s="547"/>
      <c r="S30" s="547"/>
      <c r="T30" s="547"/>
      <c r="U30" s="547"/>
    </row>
    <row r="31" spans="6:21" ht="13.5" thickBot="1"/>
    <row r="32" spans="6:21" ht="12.75" customHeight="1">
      <c r="F32" s="385" t="s">
        <v>166</v>
      </c>
      <c r="G32" s="386"/>
      <c r="H32" s="386"/>
      <c r="I32" s="387"/>
      <c r="K32" s="385">
        <f ca="1">+G25</f>
        <v>1</v>
      </c>
      <c r="L32" s="386"/>
      <c r="M32" s="387"/>
    </row>
    <row r="33" spans="6:13" ht="12.75" customHeight="1">
      <c r="F33" s="388"/>
      <c r="G33" s="389"/>
      <c r="H33" s="389"/>
      <c r="I33" s="390"/>
      <c r="K33" s="388"/>
      <c r="L33" s="389"/>
      <c r="M33" s="390"/>
    </row>
    <row r="34" spans="6:13" ht="12.75" customHeight="1">
      <c r="F34" s="388"/>
      <c r="G34" s="389"/>
      <c r="H34" s="389"/>
      <c r="I34" s="390"/>
      <c r="K34" s="388"/>
      <c r="L34" s="389"/>
      <c r="M34" s="390"/>
    </row>
    <row r="35" spans="6:13" ht="12.75" customHeight="1">
      <c r="F35" s="388"/>
      <c r="G35" s="389"/>
      <c r="H35" s="389"/>
      <c r="I35" s="390"/>
      <c r="K35" s="388"/>
      <c r="L35" s="389"/>
      <c r="M35" s="390"/>
    </row>
    <row r="36" spans="6:13" ht="13.5" customHeight="1" thickBot="1">
      <c r="F36" s="391"/>
      <c r="G36" s="392"/>
      <c r="H36" s="392"/>
      <c r="I36" s="393"/>
      <c r="K36" s="391"/>
      <c r="L36" s="392"/>
      <c r="M36" s="393"/>
    </row>
  </sheetData>
  <mergeCells count="9">
    <mergeCell ref="R2:Z2"/>
    <mergeCell ref="F32:I36"/>
    <mergeCell ref="K32:M36"/>
    <mergeCell ref="H2:P2"/>
    <mergeCell ref="A2:F2"/>
    <mergeCell ref="F26:I30"/>
    <mergeCell ref="K26:M30"/>
    <mergeCell ref="Q26:Q30"/>
    <mergeCell ref="S26:U30"/>
  </mergeCells>
  <phoneticPr fontId="0" type="noConversion"/>
  <pageMargins left="0.75" right="0.75" top="1" bottom="1"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
  <sheetViews>
    <sheetView workbookViewId="0">
      <selection sqref="A1:F1"/>
    </sheetView>
  </sheetViews>
  <sheetFormatPr baseColWidth="10" defaultRowHeight="12.75"/>
  <sheetData>
    <row r="1" spans="1:54" ht="13.5" thickBot="1">
      <c r="A1" s="544" t="s">
        <v>168</v>
      </c>
      <c r="B1" s="545"/>
      <c r="C1" s="545"/>
      <c r="D1" s="545"/>
      <c r="E1" s="545"/>
      <c r="F1" s="546"/>
      <c r="G1" s="544" t="s">
        <v>113</v>
      </c>
      <c r="H1" s="545"/>
      <c r="I1" s="545"/>
      <c r="J1" s="545"/>
      <c r="K1" s="545"/>
      <c r="L1" s="546"/>
      <c r="M1" s="544" t="s">
        <v>114</v>
      </c>
      <c r="N1" s="545"/>
      <c r="O1" s="545"/>
      <c r="P1" s="545"/>
      <c r="Q1" s="545"/>
      <c r="R1" s="546"/>
      <c r="S1" s="544" t="s">
        <v>115</v>
      </c>
      <c r="T1" s="545"/>
      <c r="U1" s="545"/>
      <c r="V1" s="545"/>
      <c r="W1" s="545"/>
      <c r="X1" s="546"/>
      <c r="Y1" s="544" t="s">
        <v>116</v>
      </c>
      <c r="Z1" s="545"/>
      <c r="AA1" s="545"/>
      <c r="AB1" s="545"/>
      <c r="AC1" s="545"/>
      <c r="AD1" s="546"/>
      <c r="AE1" s="544" t="s">
        <v>335</v>
      </c>
      <c r="AF1" s="545"/>
      <c r="AG1" s="545"/>
      <c r="AH1" s="545"/>
      <c r="AI1" s="545"/>
      <c r="AJ1" s="546"/>
      <c r="AK1" s="544" t="s">
        <v>336</v>
      </c>
      <c r="AL1" s="545"/>
      <c r="AM1" s="545"/>
      <c r="AN1" s="545"/>
      <c r="AO1" s="545"/>
      <c r="AP1" s="546"/>
      <c r="AQ1" s="544" t="s">
        <v>337</v>
      </c>
      <c r="AR1" s="545"/>
      <c r="AS1" s="545"/>
      <c r="AT1" s="545"/>
      <c r="AU1" s="545"/>
      <c r="AV1" s="546"/>
      <c r="AW1" s="544" t="s">
        <v>120</v>
      </c>
      <c r="AX1" s="545"/>
      <c r="AY1" s="545"/>
      <c r="AZ1" s="545"/>
      <c r="BA1" s="545"/>
      <c r="BB1" s="546"/>
    </row>
    <row r="2" spans="1:54" ht="78" customHeight="1" thickBot="1">
      <c r="A2" s="373" t="s">
        <v>338</v>
      </c>
      <c r="B2" s="374"/>
      <c r="C2" s="374"/>
      <c r="D2" s="374"/>
      <c r="E2" s="374"/>
      <c r="F2" s="375"/>
      <c r="G2" s="373" t="s">
        <v>339</v>
      </c>
      <c r="H2" s="374"/>
      <c r="I2" s="374"/>
      <c r="J2" s="374"/>
      <c r="K2" s="374"/>
      <c r="L2" s="375"/>
      <c r="M2" s="373" t="s">
        <v>340</v>
      </c>
      <c r="N2" s="374"/>
      <c r="O2" s="374"/>
      <c r="P2" s="374"/>
      <c r="Q2" s="374"/>
      <c r="R2" s="375"/>
      <c r="S2" s="373" t="s">
        <v>341</v>
      </c>
      <c r="T2" s="374"/>
      <c r="U2" s="374"/>
      <c r="V2" s="374"/>
      <c r="W2" s="374"/>
      <c r="X2" s="375"/>
      <c r="Y2" s="373" t="s">
        <v>197</v>
      </c>
      <c r="Z2" s="374"/>
      <c r="AA2" s="374"/>
      <c r="AB2" s="374"/>
      <c r="AC2" s="374"/>
      <c r="AD2" s="375"/>
      <c r="AE2" s="373" t="s">
        <v>70</v>
      </c>
      <c r="AF2" s="374"/>
      <c r="AG2" s="374"/>
      <c r="AH2" s="374"/>
      <c r="AI2" s="374"/>
      <c r="AJ2" s="375"/>
      <c r="AK2" s="373" t="s">
        <v>71</v>
      </c>
      <c r="AL2" s="374"/>
      <c r="AM2" s="374"/>
      <c r="AN2" s="374"/>
      <c r="AO2" s="374"/>
      <c r="AP2" s="375"/>
      <c r="AQ2" s="373" t="s">
        <v>163</v>
      </c>
      <c r="AR2" s="374"/>
      <c r="AS2" s="374"/>
      <c r="AT2" s="374"/>
      <c r="AU2" s="374"/>
      <c r="AV2" s="375"/>
      <c r="AW2" s="373" t="s">
        <v>164</v>
      </c>
      <c r="AX2" s="374"/>
      <c r="AY2" s="374"/>
      <c r="AZ2" s="374"/>
      <c r="BA2" s="374"/>
      <c r="BB2" s="375"/>
    </row>
  </sheetData>
  <mergeCells count="18">
    <mergeCell ref="AW1:BB1"/>
    <mergeCell ref="AW2:BB2"/>
    <mergeCell ref="AK1:AP1"/>
    <mergeCell ref="AK2:AP2"/>
    <mergeCell ref="AQ1:AV1"/>
    <mergeCell ref="AQ2:AV2"/>
    <mergeCell ref="AE1:AJ1"/>
    <mergeCell ref="AE2:AJ2"/>
    <mergeCell ref="M1:R1"/>
    <mergeCell ref="M2:R2"/>
    <mergeCell ref="S2:X2"/>
    <mergeCell ref="S1:X1"/>
    <mergeCell ref="A1:F1"/>
    <mergeCell ref="A2:F2"/>
    <mergeCell ref="G1:L1"/>
    <mergeCell ref="G2:L2"/>
    <mergeCell ref="Y1:AD1"/>
    <mergeCell ref="Y2:AD2"/>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
  <sheetViews>
    <sheetView topLeftCell="A115" workbookViewId="0"/>
  </sheetViews>
  <sheetFormatPr baseColWidth="10" defaultRowHeight="12.75"/>
  <cols>
    <col min="1" max="1" width="10.85546875" style="103" bestFit="1" customWidth="1"/>
    <col min="2" max="2" width="9.140625" customWidth="1"/>
    <col min="3" max="3" width="5" style="18" customWidth="1"/>
    <col min="4" max="4" width="5.140625" customWidth="1"/>
    <col min="5" max="5" width="8.42578125" style="104" customWidth="1"/>
    <col min="6" max="6" width="5.28515625" style="18" customWidth="1"/>
    <col min="7" max="7" width="4.85546875" style="18" customWidth="1"/>
    <col min="8" max="8" width="10.5703125" style="105" bestFit="1" customWidth="1"/>
  </cols>
  <sheetData>
    <row r="1" spans="1:13" ht="23.25">
      <c r="A1" s="551" t="s">
        <v>141</v>
      </c>
      <c r="B1" s="552"/>
      <c r="C1" s="552"/>
      <c r="D1" s="552"/>
      <c r="E1" s="552"/>
      <c r="F1" s="552"/>
      <c r="G1" s="552"/>
      <c r="H1" s="553"/>
      <c r="M1" s="111">
        <f>+Ki!C8</f>
        <v>17520</v>
      </c>
    </row>
    <row r="2" spans="1:13">
      <c r="A2" s="554" t="s">
        <v>142</v>
      </c>
      <c r="B2" s="556" t="s">
        <v>143</v>
      </c>
      <c r="C2" s="556"/>
      <c r="D2" s="556"/>
      <c r="E2" s="556" t="s">
        <v>144</v>
      </c>
      <c r="F2" s="556"/>
      <c r="G2" s="556"/>
      <c r="H2" s="557" t="s">
        <v>145</v>
      </c>
    </row>
    <row r="3" spans="1:13" ht="13.5" thickBot="1">
      <c r="A3" s="555"/>
      <c r="B3" s="71" t="s">
        <v>92</v>
      </c>
      <c r="C3" s="71" t="s">
        <v>91</v>
      </c>
      <c r="D3" s="71" t="s">
        <v>93</v>
      </c>
      <c r="E3" s="71" t="s">
        <v>92</v>
      </c>
      <c r="F3" s="71" t="s">
        <v>146</v>
      </c>
      <c r="G3" s="71" t="s">
        <v>93</v>
      </c>
      <c r="H3" s="558"/>
    </row>
    <row r="4" spans="1:13">
      <c r="A4" s="72" t="s">
        <v>147</v>
      </c>
      <c r="B4" s="73" t="s">
        <v>148</v>
      </c>
      <c r="C4" s="74">
        <v>31</v>
      </c>
      <c r="D4" s="75">
        <v>1900</v>
      </c>
      <c r="E4" s="73" t="s">
        <v>148</v>
      </c>
      <c r="F4" s="74">
        <v>18</v>
      </c>
      <c r="G4" s="74">
        <v>1901</v>
      </c>
      <c r="H4" s="76" t="s">
        <v>149</v>
      </c>
      <c r="I4" s="18" t="str">
        <f>CONCATENATE(TEXT(C4,"##"),"-", MID(B4,1,3),"-",TEXT(D4,"###0"))</f>
        <v>31-Ene-1900</v>
      </c>
      <c r="J4" s="18" t="str">
        <f>CONCATENATE(TEXT(F4,"##"),"-", MID(E4,1,3),"-",TEXT(G4,"###0"))</f>
        <v>18-Ene-1901</v>
      </c>
      <c r="K4" s="111">
        <f>DATE(D4,MONTH(I4),C4)</f>
        <v>31</v>
      </c>
      <c r="L4" s="111">
        <f>DATE(G4,MONTH(J4),F4)</f>
        <v>384</v>
      </c>
      <c r="M4">
        <f>+J4-I4</f>
        <v>353</v>
      </c>
    </row>
    <row r="5" spans="1:13">
      <c r="A5" s="77" t="s">
        <v>253</v>
      </c>
      <c r="B5" s="78" t="s">
        <v>150</v>
      </c>
      <c r="C5" s="79">
        <v>19</v>
      </c>
      <c r="D5" s="80">
        <v>1901</v>
      </c>
      <c r="E5" s="78" t="s">
        <v>150</v>
      </c>
      <c r="F5" s="79">
        <v>7</v>
      </c>
      <c r="G5" s="79">
        <v>1902</v>
      </c>
      <c r="H5" s="81" t="s">
        <v>149</v>
      </c>
      <c r="I5" s="18" t="str">
        <f t="shared" ref="I5:I68" si="0">CONCATENATE(TEXT(C5,"##"),"-", MID(B5,1,3),"-",TEXT(D5,"###0"))</f>
        <v>19-Feb-1901</v>
      </c>
      <c r="J5" s="18" t="str">
        <f t="shared" ref="J5:J68" si="1">CONCATENATE(TEXT(F5,"##"),"-", MID(E5,1,3),"-",TEXT(G5,"###0"))</f>
        <v>7-Feb-1902</v>
      </c>
      <c r="K5" s="111">
        <f t="shared" ref="K5:K68" si="2">DATE(D5,MONTH(I5),C5)</f>
        <v>416</v>
      </c>
      <c r="L5" s="111">
        <f t="shared" ref="L5:L68" si="3">DATE(G5,MONTH(J5),F5)</f>
        <v>769</v>
      </c>
      <c r="M5">
        <f t="shared" ref="M5:M15" si="4">+J5-I5</f>
        <v>353</v>
      </c>
    </row>
    <row r="6" spans="1:13">
      <c r="A6" s="77" t="s">
        <v>151</v>
      </c>
      <c r="B6" s="78" t="s">
        <v>150</v>
      </c>
      <c r="C6" s="26">
        <v>8</v>
      </c>
      <c r="D6" s="80">
        <v>1902</v>
      </c>
      <c r="E6" s="78" t="s">
        <v>148</v>
      </c>
      <c r="F6" s="79">
        <v>28</v>
      </c>
      <c r="G6" s="79">
        <v>1903</v>
      </c>
      <c r="H6" s="81" t="s">
        <v>152</v>
      </c>
      <c r="I6" s="18" t="str">
        <f t="shared" si="0"/>
        <v>8-Feb-1902</v>
      </c>
      <c r="J6" s="18" t="str">
        <f t="shared" si="1"/>
        <v>28-Ene-1903</v>
      </c>
      <c r="K6" s="111">
        <f t="shared" si="2"/>
        <v>770</v>
      </c>
      <c r="L6" s="111">
        <f t="shared" si="3"/>
        <v>1124</v>
      </c>
      <c r="M6">
        <f t="shared" si="4"/>
        <v>354</v>
      </c>
    </row>
    <row r="7" spans="1:13">
      <c r="A7" s="77" t="s">
        <v>153</v>
      </c>
      <c r="B7" s="78" t="s">
        <v>148</v>
      </c>
      <c r="C7" s="79">
        <v>29</v>
      </c>
      <c r="D7" s="80">
        <v>1903</v>
      </c>
      <c r="E7" s="78" t="s">
        <v>150</v>
      </c>
      <c r="F7" s="79">
        <v>15</v>
      </c>
      <c r="G7" s="79">
        <v>1904</v>
      </c>
      <c r="H7" s="81" t="s">
        <v>152</v>
      </c>
      <c r="I7" s="18" t="str">
        <f t="shared" si="0"/>
        <v>29-Ene-1903</v>
      </c>
      <c r="J7" s="18" t="str">
        <f t="shared" si="1"/>
        <v>15-Feb-1904</v>
      </c>
      <c r="K7" s="111">
        <f t="shared" si="2"/>
        <v>1125</v>
      </c>
      <c r="L7" s="111">
        <f t="shared" si="3"/>
        <v>1507</v>
      </c>
      <c r="M7">
        <f t="shared" si="4"/>
        <v>382</v>
      </c>
    </row>
    <row r="8" spans="1:13">
      <c r="A8" s="77" t="s">
        <v>162</v>
      </c>
      <c r="B8" s="78" t="s">
        <v>150</v>
      </c>
      <c r="C8" s="79">
        <v>16</v>
      </c>
      <c r="D8" s="80">
        <v>1904</v>
      </c>
      <c r="E8" s="78" t="s">
        <v>150</v>
      </c>
      <c r="F8" s="79">
        <v>3</v>
      </c>
      <c r="G8" s="79">
        <v>1905</v>
      </c>
      <c r="H8" s="81" t="s">
        <v>154</v>
      </c>
      <c r="I8" s="18" t="str">
        <f t="shared" si="0"/>
        <v>16-Feb-1904</v>
      </c>
      <c r="J8" s="18" t="str">
        <f t="shared" si="1"/>
        <v>3-Feb-1905</v>
      </c>
      <c r="K8" s="111">
        <f t="shared" si="2"/>
        <v>1508</v>
      </c>
      <c r="L8" s="111">
        <f t="shared" si="3"/>
        <v>1861</v>
      </c>
      <c r="M8">
        <f t="shared" si="4"/>
        <v>353</v>
      </c>
    </row>
    <row r="9" spans="1:13">
      <c r="A9" s="77" t="s">
        <v>155</v>
      </c>
      <c r="B9" s="78" t="s">
        <v>150</v>
      </c>
      <c r="C9" s="79">
        <v>4</v>
      </c>
      <c r="D9" s="80">
        <v>1905</v>
      </c>
      <c r="E9" s="78" t="s">
        <v>148</v>
      </c>
      <c r="F9" s="79">
        <v>24</v>
      </c>
      <c r="G9" s="79">
        <v>1906</v>
      </c>
      <c r="H9" s="81" t="s">
        <v>154</v>
      </c>
      <c r="I9" s="18" t="str">
        <f t="shared" si="0"/>
        <v>4-Feb-1905</v>
      </c>
      <c r="J9" s="18" t="str">
        <f t="shared" si="1"/>
        <v>24-Ene-1906</v>
      </c>
      <c r="K9" s="111">
        <f t="shared" si="2"/>
        <v>1862</v>
      </c>
      <c r="L9" s="111">
        <f t="shared" si="3"/>
        <v>2216</v>
      </c>
      <c r="M9">
        <f t="shared" si="4"/>
        <v>354</v>
      </c>
    </row>
    <row r="10" spans="1:13">
      <c r="A10" s="77" t="s">
        <v>156</v>
      </c>
      <c r="B10" s="78" t="s">
        <v>148</v>
      </c>
      <c r="C10" s="79">
        <v>25</v>
      </c>
      <c r="D10" s="80">
        <v>1906</v>
      </c>
      <c r="E10" s="78" t="s">
        <v>150</v>
      </c>
      <c r="F10" s="79">
        <v>12</v>
      </c>
      <c r="G10" s="79">
        <v>1907</v>
      </c>
      <c r="H10" s="81" t="s">
        <v>157</v>
      </c>
      <c r="I10" s="18" t="str">
        <f t="shared" si="0"/>
        <v>25-Ene-1906</v>
      </c>
      <c r="J10" s="18" t="str">
        <f t="shared" si="1"/>
        <v>12-Feb-1907</v>
      </c>
      <c r="K10" s="111">
        <f t="shared" si="2"/>
        <v>2217</v>
      </c>
      <c r="L10" s="111">
        <f t="shared" si="3"/>
        <v>2600</v>
      </c>
      <c r="M10">
        <f t="shared" si="4"/>
        <v>383</v>
      </c>
    </row>
    <row r="11" spans="1:13">
      <c r="A11" s="77" t="s">
        <v>254</v>
      </c>
      <c r="B11" s="78" t="s">
        <v>148</v>
      </c>
      <c r="C11" s="79">
        <v>13</v>
      </c>
      <c r="D11" s="80">
        <v>1907</v>
      </c>
      <c r="E11" s="78" t="s">
        <v>150</v>
      </c>
      <c r="F11" s="79">
        <v>1</v>
      </c>
      <c r="G11" s="79">
        <v>1908</v>
      </c>
      <c r="H11" s="81" t="s">
        <v>157</v>
      </c>
      <c r="I11" s="18" t="str">
        <f t="shared" si="0"/>
        <v>13-Ene-1907</v>
      </c>
      <c r="J11" s="18" t="str">
        <f t="shared" si="1"/>
        <v>1-Feb-1908</v>
      </c>
      <c r="K11" s="111">
        <f t="shared" si="2"/>
        <v>2570</v>
      </c>
      <c r="L11" s="111">
        <f t="shared" si="3"/>
        <v>2954</v>
      </c>
      <c r="M11">
        <f t="shared" si="4"/>
        <v>384</v>
      </c>
    </row>
    <row r="12" spans="1:13">
      <c r="A12" s="77" t="s">
        <v>158</v>
      </c>
      <c r="B12" s="78" t="s">
        <v>150</v>
      </c>
      <c r="C12" s="79">
        <v>2</v>
      </c>
      <c r="D12" s="80">
        <v>1908</v>
      </c>
      <c r="E12" s="78" t="s">
        <v>148</v>
      </c>
      <c r="F12" s="79">
        <v>21</v>
      </c>
      <c r="G12" s="79">
        <v>1909</v>
      </c>
      <c r="H12" s="81" t="s">
        <v>159</v>
      </c>
      <c r="I12" s="18" t="str">
        <f t="shared" si="0"/>
        <v>2-Feb-1908</v>
      </c>
      <c r="J12" s="18" t="str">
        <f t="shared" si="1"/>
        <v>21-Ene-1909</v>
      </c>
      <c r="K12" s="111">
        <f t="shared" si="2"/>
        <v>2955</v>
      </c>
      <c r="L12" s="111">
        <f t="shared" si="3"/>
        <v>3309</v>
      </c>
      <c r="M12">
        <f t="shared" si="4"/>
        <v>354</v>
      </c>
    </row>
    <row r="13" spans="1:13">
      <c r="A13" s="77" t="s">
        <v>160</v>
      </c>
      <c r="B13" s="78" t="s">
        <v>148</v>
      </c>
      <c r="C13" s="79">
        <v>22</v>
      </c>
      <c r="D13" s="80">
        <v>1909</v>
      </c>
      <c r="E13" s="78" t="s">
        <v>150</v>
      </c>
      <c r="F13" s="79">
        <v>9</v>
      </c>
      <c r="G13" s="79">
        <v>1910</v>
      </c>
      <c r="H13" s="81" t="s">
        <v>159</v>
      </c>
      <c r="I13" s="18" t="str">
        <f t="shared" si="0"/>
        <v>22-Ene-1909</v>
      </c>
      <c r="J13" s="18" t="str">
        <f t="shared" si="1"/>
        <v>9-Feb-1910</v>
      </c>
      <c r="K13" s="111">
        <f t="shared" si="2"/>
        <v>3310</v>
      </c>
      <c r="L13" s="111">
        <f t="shared" si="3"/>
        <v>3693</v>
      </c>
      <c r="M13">
        <f t="shared" si="4"/>
        <v>383</v>
      </c>
    </row>
    <row r="14" spans="1:13">
      <c r="A14" s="77" t="s">
        <v>161</v>
      </c>
      <c r="B14" s="78" t="s">
        <v>150</v>
      </c>
      <c r="C14" s="79">
        <v>10</v>
      </c>
      <c r="D14" s="80">
        <v>1910</v>
      </c>
      <c r="E14" s="78" t="s">
        <v>148</v>
      </c>
      <c r="F14" s="79">
        <v>29</v>
      </c>
      <c r="G14" s="79">
        <v>1911</v>
      </c>
      <c r="H14" s="81" t="s">
        <v>149</v>
      </c>
      <c r="I14" s="18" t="str">
        <f t="shared" si="0"/>
        <v>10-Feb-1910</v>
      </c>
      <c r="J14" s="18" t="str">
        <f t="shared" si="1"/>
        <v>29-Ene-1911</v>
      </c>
      <c r="K14" s="111">
        <f t="shared" si="2"/>
        <v>3694</v>
      </c>
      <c r="L14" s="111">
        <f t="shared" si="3"/>
        <v>4047</v>
      </c>
      <c r="M14">
        <f t="shared" si="4"/>
        <v>353</v>
      </c>
    </row>
    <row r="15" spans="1:13" ht="13.5" thickBot="1">
      <c r="A15" s="82" t="s">
        <v>293</v>
      </c>
      <c r="B15" s="83" t="s">
        <v>148</v>
      </c>
      <c r="C15" s="84">
        <v>30</v>
      </c>
      <c r="D15" s="85">
        <v>1911</v>
      </c>
      <c r="E15" s="83" t="s">
        <v>150</v>
      </c>
      <c r="F15" s="84">
        <v>17</v>
      </c>
      <c r="G15" s="84">
        <v>1912</v>
      </c>
      <c r="H15" s="86" t="s">
        <v>149</v>
      </c>
      <c r="I15" s="18" t="str">
        <f t="shared" si="0"/>
        <v>30-Ene-1911</v>
      </c>
      <c r="J15" s="18" t="str">
        <f t="shared" si="1"/>
        <v>17-Feb-1912</v>
      </c>
      <c r="K15" s="111">
        <f t="shared" si="2"/>
        <v>4048</v>
      </c>
      <c r="L15" s="111">
        <f t="shared" si="3"/>
        <v>4431</v>
      </c>
      <c r="M15">
        <f t="shared" si="4"/>
        <v>383</v>
      </c>
    </row>
    <row r="16" spans="1:13">
      <c r="A16" s="72" t="s">
        <v>147</v>
      </c>
      <c r="B16" s="73" t="s">
        <v>150</v>
      </c>
      <c r="C16" s="74">
        <v>18</v>
      </c>
      <c r="D16" s="75">
        <v>1912</v>
      </c>
      <c r="E16" s="73" t="s">
        <v>150</v>
      </c>
      <c r="F16" s="74">
        <v>5</v>
      </c>
      <c r="G16" s="74">
        <v>1913</v>
      </c>
      <c r="H16" s="76" t="s">
        <v>152</v>
      </c>
      <c r="I16" s="18" t="str">
        <f t="shared" si="0"/>
        <v>18-Feb-1912</v>
      </c>
      <c r="J16" s="18" t="str">
        <f t="shared" si="1"/>
        <v>5-Feb-1913</v>
      </c>
      <c r="K16" s="111">
        <f t="shared" si="2"/>
        <v>4432</v>
      </c>
      <c r="L16" s="111">
        <f t="shared" si="3"/>
        <v>4785</v>
      </c>
      <c r="M16">
        <f>+J16-I16</f>
        <v>353</v>
      </c>
    </row>
    <row r="17" spans="1:13">
      <c r="A17" s="77" t="s">
        <v>253</v>
      </c>
      <c r="B17" s="78" t="s">
        <v>150</v>
      </c>
      <c r="C17" s="79">
        <v>6</v>
      </c>
      <c r="D17" s="80">
        <v>1913</v>
      </c>
      <c r="E17" s="78" t="s">
        <v>148</v>
      </c>
      <c r="F17" s="79">
        <v>25</v>
      </c>
      <c r="G17" s="79">
        <v>1914</v>
      </c>
      <c r="H17" s="81" t="s">
        <v>152</v>
      </c>
      <c r="I17" s="18" t="str">
        <f t="shared" si="0"/>
        <v>6-Feb-1913</v>
      </c>
      <c r="J17" s="18" t="str">
        <f t="shared" si="1"/>
        <v>25-Ene-1914</v>
      </c>
      <c r="K17" s="111">
        <f t="shared" si="2"/>
        <v>4786</v>
      </c>
      <c r="L17" s="111">
        <f t="shared" si="3"/>
        <v>5139</v>
      </c>
      <c r="M17">
        <f t="shared" ref="M17:M27" si="5">+J17-I17</f>
        <v>353</v>
      </c>
    </row>
    <row r="18" spans="1:13">
      <c r="A18" s="77" t="s">
        <v>151</v>
      </c>
      <c r="B18" s="78" t="s">
        <v>148</v>
      </c>
      <c r="C18" s="79">
        <v>26</v>
      </c>
      <c r="D18" s="80">
        <v>1914</v>
      </c>
      <c r="E18" s="78" t="s">
        <v>150</v>
      </c>
      <c r="F18" s="79">
        <v>13</v>
      </c>
      <c r="G18" s="79">
        <v>1915</v>
      </c>
      <c r="H18" s="81" t="s">
        <v>154</v>
      </c>
      <c r="I18" s="18" t="str">
        <f t="shared" si="0"/>
        <v>26-Ene-1914</v>
      </c>
      <c r="J18" s="18" t="str">
        <f t="shared" si="1"/>
        <v>13-Feb-1915</v>
      </c>
      <c r="K18" s="111">
        <f t="shared" si="2"/>
        <v>5140</v>
      </c>
      <c r="L18" s="111">
        <f t="shared" si="3"/>
        <v>5523</v>
      </c>
      <c r="M18">
        <f t="shared" si="5"/>
        <v>383</v>
      </c>
    </row>
    <row r="19" spans="1:13">
      <c r="A19" s="77" t="s">
        <v>153</v>
      </c>
      <c r="B19" s="78" t="s">
        <v>150</v>
      </c>
      <c r="C19" s="79">
        <v>14</v>
      </c>
      <c r="D19" s="80">
        <v>1915</v>
      </c>
      <c r="E19" s="78" t="s">
        <v>150</v>
      </c>
      <c r="F19" s="79">
        <v>2</v>
      </c>
      <c r="G19" s="79">
        <v>1916</v>
      </c>
      <c r="H19" s="81" t="s">
        <v>154</v>
      </c>
      <c r="I19" s="18" t="str">
        <f t="shared" si="0"/>
        <v>14-Feb-1915</v>
      </c>
      <c r="J19" s="18" t="str">
        <f t="shared" si="1"/>
        <v>2-Feb-1916</v>
      </c>
      <c r="K19" s="111">
        <f t="shared" si="2"/>
        <v>5524</v>
      </c>
      <c r="L19" s="111">
        <f t="shared" si="3"/>
        <v>5877</v>
      </c>
      <c r="M19">
        <f t="shared" si="5"/>
        <v>353</v>
      </c>
    </row>
    <row r="20" spans="1:13">
      <c r="A20" s="77" t="s">
        <v>162</v>
      </c>
      <c r="B20" s="78" t="s">
        <v>150</v>
      </c>
      <c r="C20" s="79">
        <v>3</v>
      </c>
      <c r="D20" s="80">
        <v>1916</v>
      </c>
      <c r="E20" s="78" t="s">
        <v>148</v>
      </c>
      <c r="F20" s="79">
        <v>22</v>
      </c>
      <c r="G20" s="79">
        <v>1917</v>
      </c>
      <c r="H20" s="81" t="s">
        <v>157</v>
      </c>
      <c r="I20" s="18" t="str">
        <f t="shared" si="0"/>
        <v>3-Feb-1916</v>
      </c>
      <c r="J20" s="18" t="str">
        <f t="shared" si="1"/>
        <v>22-Ene-1917</v>
      </c>
      <c r="K20" s="111">
        <f t="shared" si="2"/>
        <v>5878</v>
      </c>
      <c r="L20" s="111">
        <f t="shared" si="3"/>
        <v>6232</v>
      </c>
      <c r="M20">
        <f t="shared" si="5"/>
        <v>354</v>
      </c>
    </row>
    <row r="21" spans="1:13">
      <c r="A21" s="77" t="s">
        <v>155</v>
      </c>
      <c r="B21" s="78" t="s">
        <v>148</v>
      </c>
      <c r="C21" s="79">
        <v>23</v>
      </c>
      <c r="D21" s="80">
        <v>1917</v>
      </c>
      <c r="E21" s="78" t="s">
        <v>150</v>
      </c>
      <c r="F21" s="79">
        <v>10</v>
      </c>
      <c r="G21" s="79">
        <v>1918</v>
      </c>
      <c r="H21" s="81" t="s">
        <v>157</v>
      </c>
      <c r="I21" s="18" t="str">
        <f t="shared" si="0"/>
        <v>23-Ene-1917</v>
      </c>
      <c r="J21" s="18" t="str">
        <f t="shared" si="1"/>
        <v>10-Feb-1918</v>
      </c>
      <c r="K21" s="111">
        <f t="shared" si="2"/>
        <v>6233</v>
      </c>
      <c r="L21" s="111">
        <f t="shared" si="3"/>
        <v>6616</v>
      </c>
      <c r="M21">
        <f t="shared" si="5"/>
        <v>383</v>
      </c>
    </row>
    <row r="22" spans="1:13">
      <c r="A22" s="77" t="s">
        <v>156</v>
      </c>
      <c r="B22" s="78" t="s">
        <v>150</v>
      </c>
      <c r="C22" s="79">
        <v>11</v>
      </c>
      <c r="D22" s="80">
        <v>1918</v>
      </c>
      <c r="E22" s="78" t="s">
        <v>148</v>
      </c>
      <c r="F22" s="79">
        <v>31</v>
      </c>
      <c r="G22" s="79">
        <v>1919</v>
      </c>
      <c r="H22" s="81" t="s">
        <v>159</v>
      </c>
      <c r="I22" s="18" t="str">
        <f t="shared" si="0"/>
        <v>11-Feb-1918</v>
      </c>
      <c r="J22" s="18" t="str">
        <f t="shared" si="1"/>
        <v>31-Ene-1919</v>
      </c>
      <c r="K22" s="111">
        <f t="shared" si="2"/>
        <v>6617</v>
      </c>
      <c r="L22" s="111">
        <f t="shared" si="3"/>
        <v>6971</v>
      </c>
      <c r="M22">
        <f t="shared" si="5"/>
        <v>354</v>
      </c>
    </row>
    <row r="23" spans="1:13">
      <c r="A23" s="77" t="s">
        <v>254</v>
      </c>
      <c r="B23" s="78" t="s">
        <v>150</v>
      </c>
      <c r="C23" s="79">
        <v>1</v>
      </c>
      <c r="D23" s="80">
        <v>1919</v>
      </c>
      <c r="E23" s="78" t="s">
        <v>150</v>
      </c>
      <c r="F23" s="79">
        <v>19</v>
      </c>
      <c r="G23" s="79">
        <v>1920</v>
      </c>
      <c r="H23" s="81" t="s">
        <v>159</v>
      </c>
      <c r="I23" s="18" t="str">
        <f t="shared" si="0"/>
        <v>1-Feb-1919</v>
      </c>
      <c r="J23" s="18" t="str">
        <f t="shared" si="1"/>
        <v>19-Feb-1920</v>
      </c>
      <c r="K23" s="111">
        <f t="shared" si="2"/>
        <v>6972</v>
      </c>
      <c r="L23" s="111">
        <f t="shared" si="3"/>
        <v>7355</v>
      </c>
      <c r="M23">
        <f t="shared" si="5"/>
        <v>383</v>
      </c>
    </row>
    <row r="24" spans="1:13">
      <c r="A24" s="77" t="s">
        <v>158</v>
      </c>
      <c r="B24" s="78" t="s">
        <v>150</v>
      </c>
      <c r="C24" s="79">
        <v>20</v>
      </c>
      <c r="D24" s="80">
        <v>1920</v>
      </c>
      <c r="E24" s="78" t="s">
        <v>150</v>
      </c>
      <c r="F24" s="79">
        <v>7</v>
      </c>
      <c r="G24" s="79">
        <v>1921</v>
      </c>
      <c r="H24" s="81" t="s">
        <v>149</v>
      </c>
      <c r="I24" s="18" t="str">
        <f t="shared" si="0"/>
        <v>20-Feb-1920</v>
      </c>
      <c r="J24" s="18" t="str">
        <f t="shared" si="1"/>
        <v>7-Feb-1921</v>
      </c>
      <c r="K24" s="111">
        <f t="shared" si="2"/>
        <v>7356</v>
      </c>
      <c r="L24" s="111">
        <f t="shared" si="3"/>
        <v>7709</v>
      </c>
      <c r="M24">
        <f t="shared" si="5"/>
        <v>353</v>
      </c>
    </row>
    <row r="25" spans="1:13">
      <c r="A25" s="77" t="s">
        <v>160</v>
      </c>
      <c r="B25" s="78" t="s">
        <v>150</v>
      </c>
      <c r="C25" s="79">
        <v>8</v>
      </c>
      <c r="D25" s="80">
        <v>1921</v>
      </c>
      <c r="E25" s="78" t="s">
        <v>148</v>
      </c>
      <c r="F25" s="79">
        <v>27</v>
      </c>
      <c r="G25" s="79">
        <v>1922</v>
      </c>
      <c r="H25" s="81" t="s">
        <v>149</v>
      </c>
      <c r="I25" s="18" t="str">
        <f t="shared" si="0"/>
        <v>8-Feb-1921</v>
      </c>
      <c r="J25" s="18" t="str">
        <f t="shared" si="1"/>
        <v>27-Ene-1922</v>
      </c>
      <c r="K25" s="111">
        <f t="shared" si="2"/>
        <v>7710</v>
      </c>
      <c r="L25" s="111">
        <f t="shared" si="3"/>
        <v>8063</v>
      </c>
      <c r="M25">
        <f t="shared" si="5"/>
        <v>353</v>
      </c>
    </row>
    <row r="26" spans="1:13">
      <c r="A26" s="77" t="s">
        <v>161</v>
      </c>
      <c r="B26" s="78" t="s">
        <v>148</v>
      </c>
      <c r="C26" s="79">
        <v>28</v>
      </c>
      <c r="D26" s="80">
        <v>1922</v>
      </c>
      <c r="E26" s="78" t="s">
        <v>150</v>
      </c>
      <c r="F26" s="79">
        <v>15</v>
      </c>
      <c r="G26" s="79">
        <v>1923</v>
      </c>
      <c r="H26" s="81" t="s">
        <v>152</v>
      </c>
      <c r="I26" s="18" t="str">
        <f t="shared" si="0"/>
        <v>28-Ene-1922</v>
      </c>
      <c r="J26" s="18" t="str">
        <f t="shared" si="1"/>
        <v>15-Feb-1923</v>
      </c>
      <c r="K26" s="111">
        <f t="shared" si="2"/>
        <v>8064</v>
      </c>
      <c r="L26" s="111">
        <f t="shared" si="3"/>
        <v>8447</v>
      </c>
      <c r="M26">
        <f t="shared" si="5"/>
        <v>383</v>
      </c>
    </row>
    <row r="27" spans="1:13" ht="13.5" thickBot="1">
      <c r="A27" s="82" t="s">
        <v>293</v>
      </c>
      <c r="B27" s="83" t="s">
        <v>150</v>
      </c>
      <c r="C27" s="84">
        <v>16</v>
      </c>
      <c r="D27" s="85">
        <v>1923</v>
      </c>
      <c r="E27" s="83" t="s">
        <v>150</v>
      </c>
      <c r="F27" s="84">
        <v>14</v>
      </c>
      <c r="G27" s="84">
        <v>1924</v>
      </c>
      <c r="H27" s="86" t="s">
        <v>152</v>
      </c>
      <c r="I27" s="18" t="str">
        <f t="shared" si="0"/>
        <v>16-Feb-1923</v>
      </c>
      <c r="J27" s="18" t="str">
        <f t="shared" si="1"/>
        <v>14-Feb-1924</v>
      </c>
      <c r="K27" s="111">
        <f t="shared" si="2"/>
        <v>8448</v>
      </c>
      <c r="L27" s="111">
        <f t="shared" si="3"/>
        <v>8811</v>
      </c>
      <c r="M27">
        <f t="shared" si="5"/>
        <v>363</v>
      </c>
    </row>
    <row r="28" spans="1:13">
      <c r="A28" s="72" t="s">
        <v>147</v>
      </c>
      <c r="B28" s="73" t="s">
        <v>150</v>
      </c>
      <c r="C28" s="87">
        <v>15</v>
      </c>
      <c r="D28" s="75">
        <v>1924</v>
      </c>
      <c r="E28" s="88" t="s">
        <v>148</v>
      </c>
      <c r="F28" s="87">
        <v>24</v>
      </c>
      <c r="G28" s="74">
        <v>1925</v>
      </c>
      <c r="H28" s="89" t="s">
        <v>154</v>
      </c>
      <c r="I28" s="18" t="str">
        <f t="shared" si="0"/>
        <v>15-Feb-1924</v>
      </c>
      <c r="J28" s="18" t="str">
        <f t="shared" si="1"/>
        <v>24-Ene-1925</v>
      </c>
      <c r="K28" s="111">
        <f t="shared" si="2"/>
        <v>8812</v>
      </c>
      <c r="L28" s="111">
        <f t="shared" si="3"/>
        <v>9156</v>
      </c>
      <c r="M28">
        <f>+J28-I28</f>
        <v>344</v>
      </c>
    </row>
    <row r="29" spans="1:13">
      <c r="A29" s="77" t="s">
        <v>253</v>
      </c>
      <c r="B29" s="90" t="s">
        <v>148</v>
      </c>
      <c r="C29" s="26">
        <v>25</v>
      </c>
      <c r="D29" s="90">
        <v>1925</v>
      </c>
      <c r="E29" s="91" t="s">
        <v>150</v>
      </c>
      <c r="F29" s="26">
        <v>12</v>
      </c>
      <c r="G29" s="26">
        <v>1926</v>
      </c>
      <c r="H29" s="27" t="s">
        <v>154</v>
      </c>
      <c r="I29" s="18" t="str">
        <f t="shared" si="0"/>
        <v>25-Ene-1925</v>
      </c>
      <c r="J29" s="18" t="str">
        <f t="shared" si="1"/>
        <v>12-Feb-1926</v>
      </c>
      <c r="K29" s="111">
        <f t="shared" si="2"/>
        <v>9157</v>
      </c>
      <c r="L29" s="111">
        <f t="shared" si="3"/>
        <v>9540</v>
      </c>
      <c r="M29">
        <f t="shared" ref="M29:M40" si="6">+J29-I29</f>
        <v>383</v>
      </c>
    </row>
    <row r="30" spans="1:13">
      <c r="A30" s="77" t="s">
        <v>151</v>
      </c>
      <c r="B30" s="90" t="s">
        <v>150</v>
      </c>
      <c r="C30" s="26">
        <v>13</v>
      </c>
      <c r="D30" s="80">
        <v>1926</v>
      </c>
      <c r="E30" s="90" t="s">
        <v>150</v>
      </c>
      <c r="F30" s="26">
        <v>1</v>
      </c>
      <c r="G30" s="91">
        <v>1927</v>
      </c>
      <c r="H30" s="27" t="s">
        <v>157</v>
      </c>
      <c r="I30" s="18" t="str">
        <f t="shared" si="0"/>
        <v>13-Feb-1926</v>
      </c>
      <c r="J30" s="18" t="str">
        <f t="shared" si="1"/>
        <v>1-Feb-1927</v>
      </c>
      <c r="K30" s="111">
        <f t="shared" si="2"/>
        <v>9541</v>
      </c>
      <c r="L30" s="111">
        <f t="shared" si="3"/>
        <v>9894</v>
      </c>
      <c r="M30">
        <f t="shared" si="6"/>
        <v>353</v>
      </c>
    </row>
    <row r="31" spans="1:13">
      <c r="A31" s="77" t="s">
        <v>153</v>
      </c>
      <c r="B31" s="90" t="s">
        <v>150</v>
      </c>
      <c r="C31" s="26">
        <v>2</v>
      </c>
      <c r="D31" s="90">
        <v>1927</v>
      </c>
      <c r="E31" s="91" t="s">
        <v>148</v>
      </c>
      <c r="F31" s="26">
        <v>22</v>
      </c>
      <c r="G31" s="26">
        <v>1928</v>
      </c>
      <c r="H31" s="92" t="s">
        <v>157</v>
      </c>
      <c r="I31" s="18" t="str">
        <f t="shared" si="0"/>
        <v>2-Feb-1927</v>
      </c>
      <c r="J31" s="18" t="str">
        <f t="shared" si="1"/>
        <v>22-Ene-1928</v>
      </c>
      <c r="K31" s="111">
        <f t="shared" si="2"/>
        <v>9895</v>
      </c>
      <c r="L31" s="111">
        <f t="shared" si="3"/>
        <v>10249</v>
      </c>
      <c r="M31">
        <f t="shared" si="6"/>
        <v>354</v>
      </c>
    </row>
    <row r="32" spans="1:13">
      <c r="A32" s="77" t="s">
        <v>162</v>
      </c>
      <c r="B32" s="90" t="s">
        <v>148</v>
      </c>
      <c r="C32" s="26">
        <v>23</v>
      </c>
      <c r="D32" s="90">
        <v>1928</v>
      </c>
      <c r="E32" s="91" t="s">
        <v>150</v>
      </c>
      <c r="F32" s="26">
        <v>9</v>
      </c>
      <c r="G32" s="26">
        <v>1929</v>
      </c>
      <c r="H32" s="92" t="s">
        <v>159</v>
      </c>
      <c r="I32" s="18" t="str">
        <f t="shared" si="0"/>
        <v>23-Ene-1928</v>
      </c>
      <c r="J32" s="18" t="str">
        <f t="shared" si="1"/>
        <v>9-Feb-1929</v>
      </c>
      <c r="K32" s="111">
        <f t="shared" si="2"/>
        <v>10250</v>
      </c>
      <c r="L32" s="111">
        <f t="shared" si="3"/>
        <v>10633</v>
      </c>
      <c r="M32">
        <f t="shared" si="6"/>
        <v>383</v>
      </c>
    </row>
    <row r="33" spans="1:13">
      <c r="A33" s="77" t="s">
        <v>155</v>
      </c>
      <c r="B33" s="90" t="s">
        <v>150</v>
      </c>
      <c r="C33" s="26">
        <v>10</v>
      </c>
      <c r="D33" s="90">
        <v>1929</v>
      </c>
      <c r="E33" s="91" t="s">
        <v>148</v>
      </c>
      <c r="F33" s="26">
        <v>29</v>
      </c>
      <c r="G33" s="26">
        <v>1930</v>
      </c>
      <c r="H33" s="92" t="s">
        <v>159</v>
      </c>
      <c r="I33" s="18" t="str">
        <f t="shared" si="0"/>
        <v>10-Feb-1929</v>
      </c>
      <c r="J33" s="18" t="str">
        <f t="shared" si="1"/>
        <v>29-Ene-1930</v>
      </c>
      <c r="K33" s="111">
        <f t="shared" si="2"/>
        <v>10634</v>
      </c>
      <c r="L33" s="111">
        <f t="shared" si="3"/>
        <v>10987</v>
      </c>
      <c r="M33">
        <f t="shared" si="6"/>
        <v>353</v>
      </c>
    </row>
    <row r="34" spans="1:13">
      <c r="A34" s="77" t="s">
        <v>156</v>
      </c>
      <c r="B34" s="90" t="s">
        <v>148</v>
      </c>
      <c r="C34" s="26">
        <v>30</v>
      </c>
      <c r="D34" s="90">
        <v>1930</v>
      </c>
      <c r="E34" s="91" t="s">
        <v>150</v>
      </c>
      <c r="F34" s="26">
        <v>16</v>
      </c>
      <c r="G34" s="26">
        <v>1931</v>
      </c>
      <c r="H34" s="92" t="s">
        <v>149</v>
      </c>
      <c r="I34" s="18" t="str">
        <f t="shared" si="0"/>
        <v>30-Ene-1930</v>
      </c>
      <c r="J34" s="18" t="str">
        <f t="shared" si="1"/>
        <v>16-Feb-1931</v>
      </c>
      <c r="K34" s="111">
        <f t="shared" si="2"/>
        <v>10988</v>
      </c>
      <c r="L34" s="111">
        <f t="shared" si="3"/>
        <v>11370</v>
      </c>
      <c r="M34">
        <f t="shared" si="6"/>
        <v>382</v>
      </c>
    </row>
    <row r="35" spans="1:13">
      <c r="A35" s="77" t="s">
        <v>254</v>
      </c>
      <c r="B35" s="90" t="s">
        <v>150</v>
      </c>
      <c r="C35" s="26">
        <v>17</v>
      </c>
      <c r="D35" s="90">
        <v>1931</v>
      </c>
      <c r="E35" s="91" t="s">
        <v>150</v>
      </c>
      <c r="F35" s="26">
        <v>5</v>
      </c>
      <c r="G35" s="26">
        <v>1932</v>
      </c>
      <c r="H35" s="92" t="s">
        <v>149</v>
      </c>
      <c r="I35" s="18" t="str">
        <f t="shared" si="0"/>
        <v>17-Feb-1931</v>
      </c>
      <c r="J35" s="18" t="str">
        <f t="shared" si="1"/>
        <v>5-Feb-1932</v>
      </c>
      <c r="K35" s="111">
        <f t="shared" si="2"/>
        <v>11371</v>
      </c>
      <c r="L35" s="111">
        <f t="shared" si="3"/>
        <v>11724</v>
      </c>
      <c r="M35">
        <f t="shared" si="6"/>
        <v>353</v>
      </c>
    </row>
    <row r="36" spans="1:13">
      <c r="A36" s="77" t="s">
        <v>158</v>
      </c>
      <c r="B36" s="90" t="s">
        <v>150</v>
      </c>
      <c r="C36" s="26">
        <v>6</v>
      </c>
      <c r="D36" s="90">
        <v>1932</v>
      </c>
      <c r="E36" s="91" t="s">
        <v>148</v>
      </c>
      <c r="F36" s="26">
        <v>25</v>
      </c>
      <c r="G36" s="26">
        <v>1933</v>
      </c>
      <c r="H36" s="92" t="s">
        <v>152</v>
      </c>
      <c r="I36" s="18" t="str">
        <f t="shared" si="0"/>
        <v>6-Feb-1932</v>
      </c>
      <c r="J36" s="18" t="str">
        <f t="shared" si="1"/>
        <v>25-Ene-1933</v>
      </c>
      <c r="K36" s="111">
        <f t="shared" si="2"/>
        <v>11725</v>
      </c>
      <c r="L36" s="111">
        <f t="shared" si="3"/>
        <v>12079</v>
      </c>
      <c r="M36">
        <f t="shared" si="6"/>
        <v>354</v>
      </c>
    </row>
    <row r="37" spans="1:13">
      <c r="A37" s="77" t="s">
        <v>160</v>
      </c>
      <c r="B37" s="90" t="s">
        <v>148</v>
      </c>
      <c r="C37" s="26">
        <v>26</v>
      </c>
      <c r="D37" s="90">
        <v>1933</v>
      </c>
      <c r="E37" s="91" t="s">
        <v>150</v>
      </c>
      <c r="F37" s="26">
        <v>13</v>
      </c>
      <c r="G37" s="26">
        <v>1934</v>
      </c>
      <c r="H37" s="92" t="s">
        <v>152</v>
      </c>
      <c r="I37" s="18" t="str">
        <f t="shared" si="0"/>
        <v>26-Ene-1933</v>
      </c>
      <c r="J37" s="18" t="str">
        <f t="shared" si="1"/>
        <v>13-Feb-1934</v>
      </c>
      <c r="K37" s="111">
        <f t="shared" si="2"/>
        <v>12080</v>
      </c>
      <c r="L37" s="111">
        <f t="shared" si="3"/>
        <v>12463</v>
      </c>
      <c r="M37">
        <f t="shared" si="6"/>
        <v>383</v>
      </c>
    </row>
    <row r="38" spans="1:13">
      <c r="A38" s="77" t="s">
        <v>161</v>
      </c>
      <c r="B38" s="90" t="s">
        <v>150</v>
      </c>
      <c r="C38" s="26">
        <v>14</v>
      </c>
      <c r="D38" s="90">
        <v>1934</v>
      </c>
      <c r="E38" s="91" t="s">
        <v>150</v>
      </c>
      <c r="F38" s="26">
        <v>3</v>
      </c>
      <c r="G38" s="26">
        <v>1935</v>
      </c>
      <c r="H38" s="92" t="s">
        <v>154</v>
      </c>
      <c r="I38" s="18" t="str">
        <f t="shared" si="0"/>
        <v>14-Feb-1934</v>
      </c>
      <c r="J38" s="18" t="str">
        <f t="shared" si="1"/>
        <v>3-Feb-1935</v>
      </c>
      <c r="K38" s="111">
        <f t="shared" si="2"/>
        <v>12464</v>
      </c>
      <c r="L38" s="111">
        <f t="shared" si="3"/>
        <v>12818</v>
      </c>
      <c r="M38">
        <f t="shared" si="6"/>
        <v>354</v>
      </c>
    </row>
    <row r="39" spans="1:13" ht="13.5" thickBot="1">
      <c r="A39" s="82" t="s">
        <v>293</v>
      </c>
      <c r="B39" s="93" t="s">
        <v>150</v>
      </c>
      <c r="C39" s="29">
        <v>4</v>
      </c>
      <c r="D39" s="93">
        <v>1935</v>
      </c>
      <c r="E39" s="94" t="s">
        <v>148</v>
      </c>
      <c r="F39" s="29">
        <v>23</v>
      </c>
      <c r="G39" s="29">
        <v>1936</v>
      </c>
      <c r="H39" s="95" t="s">
        <v>154</v>
      </c>
      <c r="I39" s="18" t="str">
        <f t="shared" si="0"/>
        <v>4-Feb-1935</v>
      </c>
      <c r="J39" s="18" t="str">
        <f t="shared" si="1"/>
        <v>23-Ene-1936</v>
      </c>
      <c r="K39" s="111">
        <f t="shared" si="2"/>
        <v>12819</v>
      </c>
      <c r="L39" s="111">
        <f t="shared" si="3"/>
        <v>13172</v>
      </c>
      <c r="M39">
        <f t="shared" si="6"/>
        <v>353</v>
      </c>
    </row>
    <row r="40" spans="1:13">
      <c r="A40" s="72" t="s">
        <v>147</v>
      </c>
      <c r="B40" s="96" t="s">
        <v>148</v>
      </c>
      <c r="C40" s="87">
        <v>24</v>
      </c>
      <c r="D40" s="96">
        <v>1936</v>
      </c>
      <c r="E40" s="88" t="s">
        <v>150</v>
      </c>
      <c r="F40" s="87">
        <v>10</v>
      </c>
      <c r="G40" s="87">
        <v>1937</v>
      </c>
      <c r="H40" s="97" t="s">
        <v>157</v>
      </c>
      <c r="I40" s="18" t="str">
        <f t="shared" si="0"/>
        <v>24-Ene-1936</v>
      </c>
      <c r="J40" s="18" t="str">
        <f t="shared" si="1"/>
        <v>10-Feb-1937</v>
      </c>
      <c r="K40" s="111">
        <f t="shared" si="2"/>
        <v>13173</v>
      </c>
      <c r="L40" s="111">
        <f t="shared" si="3"/>
        <v>13556</v>
      </c>
      <c r="M40">
        <f t="shared" si="6"/>
        <v>383</v>
      </c>
    </row>
    <row r="41" spans="1:13">
      <c r="A41" s="77" t="s">
        <v>253</v>
      </c>
      <c r="B41" s="90" t="s">
        <v>150</v>
      </c>
      <c r="C41" s="26">
        <v>11</v>
      </c>
      <c r="D41" s="90">
        <v>1937</v>
      </c>
      <c r="E41" s="91" t="s">
        <v>148</v>
      </c>
      <c r="F41" s="26">
        <v>30</v>
      </c>
      <c r="G41" s="26">
        <v>1938</v>
      </c>
      <c r="H41" s="92" t="s">
        <v>157</v>
      </c>
      <c r="I41" s="18" t="str">
        <f t="shared" si="0"/>
        <v>11-Feb-1937</v>
      </c>
      <c r="J41" s="18" t="str">
        <f t="shared" si="1"/>
        <v>30-Ene-1938</v>
      </c>
      <c r="K41" s="111">
        <f t="shared" si="2"/>
        <v>13557</v>
      </c>
      <c r="L41" s="111">
        <f t="shared" si="3"/>
        <v>13910</v>
      </c>
      <c r="M41">
        <f t="shared" ref="M41:M104" si="7">+J41-I41</f>
        <v>353</v>
      </c>
    </row>
    <row r="42" spans="1:13">
      <c r="A42" s="77" t="s">
        <v>151</v>
      </c>
      <c r="B42" s="90" t="s">
        <v>148</v>
      </c>
      <c r="C42" s="26">
        <v>31</v>
      </c>
      <c r="D42" s="90">
        <v>1938</v>
      </c>
      <c r="E42" s="91" t="s">
        <v>150</v>
      </c>
      <c r="F42" s="26">
        <v>18</v>
      </c>
      <c r="G42" s="26">
        <v>1939</v>
      </c>
      <c r="H42" s="92" t="s">
        <v>159</v>
      </c>
      <c r="I42" s="18" t="str">
        <f t="shared" si="0"/>
        <v>31-Ene-1938</v>
      </c>
      <c r="J42" s="18" t="str">
        <f t="shared" si="1"/>
        <v>18-Feb-1939</v>
      </c>
      <c r="K42" s="111">
        <f t="shared" si="2"/>
        <v>13911</v>
      </c>
      <c r="L42" s="111">
        <f t="shared" si="3"/>
        <v>14294</v>
      </c>
      <c r="M42">
        <f t="shared" si="7"/>
        <v>383</v>
      </c>
    </row>
    <row r="43" spans="1:13">
      <c r="A43" s="77" t="s">
        <v>153</v>
      </c>
      <c r="B43" s="90" t="s">
        <v>150</v>
      </c>
      <c r="C43" s="26">
        <v>19</v>
      </c>
      <c r="D43" s="90">
        <v>1939</v>
      </c>
      <c r="E43" s="91" t="s">
        <v>150</v>
      </c>
      <c r="F43" s="26">
        <v>7</v>
      </c>
      <c r="G43" s="26">
        <v>1940</v>
      </c>
      <c r="H43" s="92" t="s">
        <v>159</v>
      </c>
      <c r="I43" s="18" t="str">
        <f t="shared" si="0"/>
        <v>19-Feb-1939</v>
      </c>
      <c r="J43" s="18" t="str">
        <f t="shared" si="1"/>
        <v>7-Feb-1940</v>
      </c>
      <c r="K43" s="111">
        <f t="shared" si="2"/>
        <v>14295</v>
      </c>
      <c r="L43" s="111">
        <f t="shared" si="3"/>
        <v>14648</v>
      </c>
      <c r="M43">
        <f t="shared" si="7"/>
        <v>353</v>
      </c>
    </row>
    <row r="44" spans="1:13">
      <c r="A44" s="77" t="s">
        <v>162</v>
      </c>
      <c r="B44" s="90" t="s">
        <v>150</v>
      </c>
      <c r="C44" s="26">
        <v>8</v>
      </c>
      <c r="D44" s="90">
        <v>1940</v>
      </c>
      <c r="E44" s="91" t="s">
        <v>148</v>
      </c>
      <c r="F44" s="26">
        <v>26</v>
      </c>
      <c r="G44" s="26">
        <v>1941</v>
      </c>
      <c r="H44" s="92" t="s">
        <v>149</v>
      </c>
      <c r="I44" s="18" t="str">
        <f t="shared" si="0"/>
        <v>8-Feb-1940</v>
      </c>
      <c r="J44" s="18" t="str">
        <f t="shared" si="1"/>
        <v>26-Ene-1941</v>
      </c>
      <c r="K44" s="111">
        <f t="shared" si="2"/>
        <v>14649</v>
      </c>
      <c r="L44" s="111">
        <f t="shared" si="3"/>
        <v>15002</v>
      </c>
      <c r="M44">
        <f t="shared" si="7"/>
        <v>353</v>
      </c>
    </row>
    <row r="45" spans="1:13">
      <c r="A45" s="77" t="s">
        <v>155</v>
      </c>
      <c r="B45" s="90" t="s">
        <v>148</v>
      </c>
      <c r="C45" s="26">
        <v>27</v>
      </c>
      <c r="D45" s="90">
        <v>1941</v>
      </c>
      <c r="E45" s="91" t="s">
        <v>150</v>
      </c>
      <c r="F45" s="26">
        <v>14</v>
      </c>
      <c r="G45" s="26">
        <v>1942</v>
      </c>
      <c r="H45" s="92" t="s">
        <v>149</v>
      </c>
      <c r="I45" s="18" t="str">
        <f t="shared" si="0"/>
        <v>27-Ene-1941</v>
      </c>
      <c r="J45" s="18" t="str">
        <f t="shared" si="1"/>
        <v>14-Feb-1942</v>
      </c>
      <c r="K45" s="111">
        <f t="shared" si="2"/>
        <v>15003</v>
      </c>
      <c r="L45" s="111">
        <f t="shared" si="3"/>
        <v>15386</v>
      </c>
      <c r="M45">
        <f t="shared" si="7"/>
        <v>383</v>
      </c>
    </row>
    <row r="46" spans="1:13">
      <c r="A46" s="77" t="s">
        <v>156</v>
      </c>
      <c r="B46" s="90" t="s">
        <v>150</v>
      </c>
      <c r="C46" s="26">
        <v>15</v>
      </c>
      <c r="D46" s="90">
        <v>1942</v>
      </c>
      <c r="E46" s="91" t="s">
        <v>150</v>
      </c>
      <c r="F46" s="26">
        <v>4</v>
      </c>
      <c r="G46" s="26">
        <v>1943</v>
      </c>
      <c r="H46" s="92" t="s">
        <v>152</v>
      </c>
      <c r="I46" s="18" t="str">
        <f t="shared" si="0"/>
        <v>15-Feb-1942</v>
      </c>
      <c r="J46" s="18" t="str">
        <f t="shared" si="1"/>
        <v>4-Feb-1943</v>
      </c>
      <c r="K46" s="111">
        <f t="shared" si="2"/>
        <v>15387</v>
      </c>
      <c r="L46" s="111">
        <f t="shared" si="3"/>
        <v>15741</v>
      </c>
      <c r="M46">
        <f t="shared" si="7"/>
        <v>354</v>
      </c>
    </row>
    <row r="47" spans="1:13">
      <c r="A47" s="77" t="s">
        <v>254</v>
      </c>
      <c r="B47" s="90" t="s">
        <v>150</v>
      </c>
      <c r="C47" s="26">
        <v>5</v>
      </c>
      <c r="D47" s="90">
        <v>1943</v>
      </c>
      <c r="E47" s="91" t="s">
        <v>148</v>
      </c>
      <c r="F47" s="26">
        <v>24</v>
      </c>
      <c r="G47" s="26">
        <v>1944</v>
      </c>
      <c r="H47" s="92" t="s">
        <v>152</v>
      </c>
      <c r="I47" s="18" t="str">
        <f t="shared" si="0"/>
        <v>5-Feb-1943</v>
      </c>
      <c r="J47" s="18" t="str">
        <f t="shared" si="1"/>
        <v>24-Ene-1944</v>
      </c>
      <c r="K47" s="111">
        <f t="shared" si="2"/>
        <v>15742</v>
      </c>
      <c r="L47" s="111">
        <f t="shared" si="3"/>
        <v>16095</v>
      </c>
      <c r="M47">
        <f t="shared" si="7"/>
        <v>353</v>
      </c>
    </row>
    <row r="48" spans="1:13">
      <c r="A48" s="77" t="s">
        <v>158</v>
      </c>
      <c r="B48" s="90" t="s">
        <v>148</v>
      </c>
      <c r="C48" s="26">
        <v>25</v>
      </c>
      <c r="D48" s="90">
        <v>1944</v>
      </c>
      <c r="E48" s="91" t="s">
        <v>150</v>
      </c>
      <c r="F48" s="26">
        <v>12</v>
      </c>
      <c r="G48" s="26">
        <v>1945</v>
      </c>
      <c r="H48" s="92" t="s">
        <v>154</v>
      </c>
      <c r="I48" s="18" t="str">
        <f t="shared" si="0"/>
        <v>25-Ene-1944</v>
      </c>
      <c r="J48" s="18" t="str">
        <f t="shared" si="1"/>
        <v>12-Feb-1945</v>
      </c>
      <c r="K48" s="111">
        <f t="shared" si="2"/>
        <v>16096</v>
      </c>
      <c r="L48" s="111">
        <f t="shared" si="3"/>
        <v>16480</v>
      </c>
      <c r="M48">
        <f t="shared" si="7"/>
        <v>384</v>
      </c>
    </row>
    <row r="49" spans="1:13">
      <c r="A49" s="77" t="s">
        <v>160</v>
      </c>
      <c r="B49" s="90" t="s">
        <v>150</v>
      </c>
      <c r="C49" s="26">
        <v>13</v>
      </c>
      <c r="D49" s="90">
        <v>1945</v>
      </c>
      <c r="E49" s="91" t="s">
        <v>150</v>
      </c>
      <c r="F49" s="26">
        <v>1</v>
      </c>
      <c r="G49" s="26">
        <v>1946</v>
      </c>
      <c r="H49" s="92" t="s">
        <v>154</v>
      </c>
      <c r="I49" s="18" t="str">
        <f t="shared" si="0"/>
        <v>13-Feb-1945</v>
      </c>
      <c r="J49" s="18" t="str">
        <f t="shared" si="1"/>
        <v>1-Feb-1946</v>
      </c>
      <c r="K49" s="111">
        <f t="shared" si="2"/>
        <v>16481</v>
      </c>
      <c r="L49" s="111">
        <f t="shared" si="3"/>
        <v>16834</v>
      </c>
      <c r="M49">
        <f t="shared" si="7"/>
        <v>353</v>
      </c>
    </row>
    <row r="50" spans="1:13">
      <c r="A50" s="77" t="s">
        <v>161</v>
      </c>
      <c r="B50" s="90" t="s">
        <v>150</v>
      </c>
      <c r="C50" s="26">
        <v>2</v>
      </c>
      <c r="D50" s="90">
        <v>1946</v>
      </c>
      <c r="E50" s="91" t="s">
        <v>148</v>
      </c>
      <c r="F50" s="26">
        <v>21</v>
      </c>
      <c r="G50" s="26">
        <v>1947</v>
      </c>
      <c r="H50" s="92" t="s">
        <v>157</v>
      </c>
      <c r="I50" s="18" t="str">
        <f t="shared" si="0"/>
        <v>2-Feb-1946</v>
      </c>
      <c r="J50" s="18" t="str">
        <f t="shared" si="1"/>
        <v>21-Ene-1947</v>
      </c>
      <c r="K50" s="111">
        <f t="shared" si="2"/>
        <v>16835</v>
      </c>
      <c r="L50" s="111">
        <f t="shared" si="3"/>
        <v>17188</v>
      </c>
      <c r="M50">
        <f t="shared" si="7"/>
        <v>353</v>
      </c>
    </row>
    <row r="51" spans="1:13" ht="13.5" thickBot="1">
      <c r="A51" s="109" t="s">
        <v>293</v>
      </c>
      <c r="B51" s="106" t="s">
        <v>148</v>
      </c>
      <c r="C51" s="107">
        <v>22</v>
      </c>
      <c r="D51" s="106">
        <v>1947</v>
      </c>
      <c r="E51" s="108" t="s">
        <v>150</v>
      </c>
      <c r="F51" s="107">
        <v>9</v>
      </c>
      <c r="G51" s="107">
        <v>1948</v>
      </c>
      <c r="H51" s="110" t="s">
        <v>157</v>
      </c>
      <c r="I51" s="18" t="str">
        <f t="shared" si="0"/>
        <v>22-Ene-1947</v>
      </c>
      <c r="J51" s="18" t="str">
        <f t="shared" si="1"/>
        <v>9-Feb-1948</v>
      </c>
      <c r="K51" s="111">
        <f t="shared" si="2"/>
        <v>17189</v>
      </c>
      <c r="L51" s="111">
        <f t="shared" si="3"/>
        <v>17572</v>
      </c>
      <c r="M51">
        <f t="shared" si="7"/>
        <v>383</v>
      </c>
    </row>
    <row r="52" spans="1:13">
      <c r="A52" s="72" t="s">
        <v>147</v>
      </c>
      <c r="B52" s="96" t="s">
        <v>150</v>
      </c>
      <c r="C52" s="87">
        <v>10</v>
      </c>
      <c r="D52" s="96">
        <v>1948</v>
      </c>
      <c r="E52" s="96" t="s">
        <v>148</v>
      </c>
      <c r="F52" s="87">
        <f>+C53-1</f>
        <v>28</v>
      </c>
      <c r="G52" s="87">
        <v>1949</v>
      </c>
      <c r="H52" s="97" t="s">
        <v>159</v>
      </c>
      <c r="I52" s="18" t="str">
        <f t="shared" si="0"/>
        <v>10-Feb-1948</v>
      </c>
      <c r="J52" s="18" t="str">
        <f t="shared" si="1"/>
        <v>28-Ene-1949</v>
      </c>
      <c r="K52" s="111">
        <f t="shared" si="2"/>
        <v>17573</v>
      </c>
      <c r="L52" s="111">
        <f t="shared" si="3"/>
        <v>17926</v>
      </c>
      <c r="M52">
        <f t="shared" si="7"/>
        <v>353</v>
      </c>
    </row>
    <row r="53" spans="1:13">
      <c r="A53" s="77" t="s">
        <v>253</v>
      </c>
      <c r="B53" s="90" t="s">
        <v>148</v>
      </c>
      <c r="C53" s="26">
        <v>29</v>
      </c>
      <c r="D53" s="90">
        <v>1949</v>
      </c>
      <c r="E53" s="90" t="s">
        <v>150</v>
      </c>
      <c r="F53" s="26">
        <f>+C54-1</f>
        <v>16</v>
      </c>
      <c r="G53" s="26">
        <v>1950</v>
      </c>
      <c r="H53" s="92" t="s">
        <v>159</v>
      </c>
      <c r="I53" s="18" t="str">
        <f t="shared" si="0"/>
        <v>29-Ene-1949</v>
      </c>
      <c r="J53" s="18" t="str">
        <f t="shared" si="1"/>
        <v>16-Feb-1950</v>
      </c>
      <c r="K53" s="111">
        <f t="shared" si="2"/>
        <v>17927</v>
      </c>
      <c r="L53" s="111">
        <f t="shared" si="3"/>
        <v>18310</v>
      </c>
      <c r="M53">
        <f t="shared" si="7"/>
        <v>383</v>
      </c>
    </row>
    <row r="54" spans="1:13">
      <c r="A54" s="77" t="s">
        <v>151</v>
      </c>
      <c r="B54" s="90" t="s">
        <v>150</v>
      </c>
      <c r="C54" s="26">
        <v>17</v>
      </c>
      <c r="D54" s="90">
        <v>1950</v>
      </c>
      <c r="E54" s="90" t="s">
        <v>150</v>
      </c>
      <c r="F54" s="26">
        <f t="shared" ref="F54:F62" si="8">+C55-1</f>
        <v>5</v>
      </c>
      <c r="G54" s="26">
        <v>1951</v>
      </c>
      <c r="H54" s="92" t="s">
        <v>149</v>
      </c>
      <c r="I54" s="18" t="str">
        <f t="shared" si="0"/>
        <v>17-Feb-1950</v>
      </c>
      <c r="J54" s="18" t="str">
        <f t="shared" si="1"/>
        <v>5-Feb-1951</v>
      </c>
      <c r="K54" s="111">
        <f t="shared" si="2"/>
        <v>18311</v>
      </c>
      <c r="L54" s="111">
        <f t="shared" si="3"/>
        <v>18664</v>
      </c>
      <c r="M54">
        <f t="shared" si="7"/>
        <v>353</v>
      </c>
    </row>
    <row r="55" spans="1:13">
      <c r="A55" s="77" t="s">
        <v>153</v>
      </c>
      <c r="B55" s="90" t="s">
        <v>150</v>
      </c>
      <c r="C55" s="26">
        <v>6</v>
      </c>
      <c r="D55" s="90">
        <v>1951</v>
      </c>
      <c r="E55" s="90" t="s">
        <v>148</v>
      </c>
      <c r="F55" s="26">
        <f t="shared" si="8"/>
        <v>26</v>
      </c>
      <c r="G55" s="26">
        <v>1952</v>
      </c>
      <c r="H55" s="92" t="s">
        <v>149</v>
      </c>
      <c r="I55" s="18" t="str">
        <f t="shared" si="0"/>
        <v>6-Feb-1951</v>
      </c>
      <c r="J55" s="18" t="str">
        <f t="shared" si="1"/>
        <v>26-Ene-1952</v>
      </c>
      <c r="K55" s="111">
        <f t="shared" si="2"/>
        <v>18665</v>
      </c>
      <c r="L55" s="111">
        <f t="shared" si="3"/>
        <v>19019</v>
      </c>
      <c r="M55">
        <f t="shared" si="7"/>
        <v>354</v>
      </c>
    </row>
    <row r="56" spans="1:13">
      <c r="A56" s="77" t="s">
        <v>162</v>
      </c>
      <c r="B56" s="90" t="s">
        <v>148</v>
      </c>
      <c r="C56" s="26">
        <v>27</v>
      </c>
      <c r="D56" s="90">
        <v>1952</v>
      </c>
      <c r="E56" s="90" t="s">
        <v>150</v>
      </c>
      <c r="F56" s="26">
        <f t="shared" si="8"/>
        <v>13</v>
      </c>
      <c r="G56" s="26">
        <v>1953</v>
      </c>
      <c r="H56" s="92" t="s">
        <v>152</v>
      </c>
      <c r="I56" s="18" t="str">
        <f t="shared" si="0"/>
        <v>27-Ene-1952</v>
      </c>
      <c r="J56" s="18" t="str">
        <f t="shared" si="1"/>
        <v>13-Feb-1953</v>
      </c>
      <c r="K56" s="111">
        <f t="shared" si="2"/>
        <v>19020</v>
      </c>
      <c r="L56" s="111">
        <f t="shared" si="3"/>
        <v>19403</v>
      </c>
      <c r="M56">
        <f t="shared" si="7"/>
        <v>383</v>
      </c>
    </row>
    <row r="57" spans="1:13">
      <c r="A57" s="77" t="s">
        <v>155</v>
      </c>
      <c r="B57" s="90" t="s">
        <v>150</v>
      </c>
      <c r="C57" s="26">
        <v>14</v>
      </c>
      <c r="D57" s="90">
        <v>1953</v>
      </c>
      <c r="E57" s="90" t="s">
        <v>150</v>
      </c>
      <c r="F57" s="26">
        <f t="shared" si="8"/>
        <v>2</v>
      </c>
      <c r="G57" s="26">
        <v>1954</v>
      </c>
      <c r="H57" s="92" t="s">
        <v>152</v>
      </c>
      <c r="I57" s="18" t="str">
        <f t="shared" si="0"/>
        <v>14-Feb-1953</v>
      </c>
      <c r="J57" s="18" t="str">
        <f t="shared" si="1"/>
        <v>2-Feb-1954</v>
      </c>
      <c r="K57" s="111">
        <f t="shared" si="2"/>
        <v>19404</v>
      </c>
      <c r="L57" s="111">
        <f t="shared" si="3"/>
        <v>19757</v>
      </c>
      <c r="M57">
        <f t="shared" si="7"/>
        <v>353</v>
      </c>
    </row>
    <row r="58" spans="1:13">
      <c r="A58" s="77" t="s">
        <v>156</v>
      </c>
      <c r="B58" s="90" t="s">
        <v>150</v>
      </c>
      <c r="C58" s="26">
        <v>3</v>
      </c>
      <c r="D58" s="90">
        <v>1954</v>
      </c>
      <c r="E58" s="90" t="s">
        <v>148</v>
      </c>
      <c r="F58" s="26">
        <f t="shared" si="8"/>
        <v>23</v>
      </c>
      <c r="G58" s="26">
        <v>1955</v>
      </c>
      <c r="H58" s="92" t="s">
        <v>154</v>
      </c>
      <c r="I58" s="18" t="str">
        <f t="shared" si="0"/>
        <v>3-Feb-1954</v>
      </c>
      <c r="J58" s="18" t="str">
        <f t="shared" si="1"/>
        <v>23-Ene-1955</v>
      </c>
      <c r="K58" s="111">
        <f t="shared" si="2"/>
        <v>19758</v>
      </c>
      <c r="L58" s="111">
        <f t="shared" si="3"/>
        <v>20112</v>
      </c>
      <c r="M58">
        <f t="shared" si="7"/>
        <v>354</v>
      </c>
    </row>
    <row r="59" spans="1:13">
      <c r="A59" s="77" t="s">
        <v>254</v>
      </c>
      <c r="B59" s="90" t="s">
        <v>148</v>
      </c>
      <c r="C59" s="26">
        <v>24</v>
      </c>
      <c r="D59" s="90">
        <v>1955</v>
      </c>
      <c r="E59" s="90" t="s">
        <v>150</v>
      </c>
      <c r="F59" s="26">
        <f t="shared" si="8"/>
        <v>11</v>
      </c>
      <c r="G59" s="26">
        <v>1956</v>
      </c>
      <c r="H59" s="92" t="s">
        <v>154</v>
      </c>
      <c r="I59" s="18" t="str">
        <f t="shared" si="0"/>
        <v>24-Ene-1955</v>
      </c>
      <c r="J59" s="18" t="str">
        <f t="shared" si="1"/>
        <v>11-Feb-1956</v>
      </c>
      <c r="K59" s="111">
        <f t="shared" si="2"/>
        <v>20113</v>
      </c>
      <c r="L59" s="111">
        <f t="shared" si="3"/>
        <v>20496</v>
      </c>
      <c r="M59">
        <f t="shared" si="7"/>
        <v>383</v>
      </c>
    </row>
    <row r="60" spans="1:13">
      <c r="A60" s="77" t="s">
        <v>158</v>
      </c>
      <c r="B60" s="90" t="s">
        <v>150</v>
      </c>
      <c r="C60" s="26">
        <v>12</v>
      </c>
      <c r="D60" s="90">
        <v>1956</v>
      </c>
      <c r="E60" s="90" t="s">
        <v>148</v>
      </c>
      <c r="F60" s="26">
        <f t="shared" si="8"/>
        <v>30</v>
      </c>
      <c r="G60" s="26">
        <v>1957</v>
      </c>
      <c r="H60" s="92" t="s">
        <v>157</v>
      </c>
      <c r="I60" s="18" t="str">
        <f t="shared" si="0"/>
        <v>12-Feb-1956</v>
      </c>
      <c r="J60" s="18" t="str">
        <f t="shared" si="1"/>
        <v>30-Ene-1957</v>
      </c>
      <c r="K60" s="111">
        <f t="shared" si="2"/>
        <v>20497</v>
      </c>
      <c r="L60" s="111">
        <f t="shared" si="3"/>
        <v>20850</v>
      </c>
      <c r="M60">
        <f t="shared" si="7"/>
        <v>353</v>
      </c>
    </row>
    <row r="61" spans="1:13">
      <c r="A61" s="77" t="s">
        <v>160</v>
      </c>
      <c r="B61" s="90" t="s">
        <v>148</v>
      </c>
      <c r="C61" s="26">
        <v>31</v>
      </c>
      <c r="D61" s="90">
        <v>1957</v>
      </c>
      <c r="E61" s="90" t="s">
        <v>150</v>
      </c>
      <c r="F61" s="26">
        <f t="shared" si="8"/>
        <v>17</v>
      </c>
      <c r="G61" s="26">
        <v>1958</v>
      </c>
      <c r="H61" s="92" t="s">
        <v>157</v>
      </c>
      <c r="I61" s="18" t="str">
        <f t="shared" si="0"/>
        <v>31-Ene-1957</v>
      </c>
      <c r="J61" s="18" t="str">
        <f t="shared" si="1"/>
        <v>17-Feb-1958</v>
      </c>
      <c r="K61" s="111">
        <f t="shared" si="2"/>
        <v>20851</v>
      </c>
      <c r="L61" s="111">
        <f t="shared" si="3"/>
        <v>21233</v>
      </c>
      <c r="M61">
        <f t="shared" si="7"/>
        <v>382</v>
      </c>
    </row>
    <row r="62" spans="1:13">
      <c r="A62" s="77" t="s">
        <v>161</v>
      </c>
      <c r="B62" s="90" t="s">
        <v>150</v>
      </c>
      <c r="C62" s="26">
        <v>18</v>
      </c>
      <c r="D62" s="90">
        <v>1958</v>
      </c>
      <c r="E62" s="90" t="s">
        <v>150</v>
      </c>
      <c r="F62" s="26">
        <f t="shared" si="8"/>
        <v>7</v>
      </c>
      <c r="G62" s="26">
        <v>1959</v>
      </c>
      <c r="H62" s="92" t="s">
        <v>159</v>
      </c>
      <c r="I62" s="18" t="str">
        <f t="shared" si="0"/>
        <v>18-Feb-1958</v>
      </c>
      <c r="J62" s="18" t="str">
        <f t="shared" si="1"/>
        <v>7-Feb-1959</v>
      </c>
      <c r="K62" s="111">
        <f t="shared" si="2"/>
        <v>21234</v>
      </c>
      <c r="L62" s="111">
        <f t="shared" si="3"/>
        <v>21588</v>
      </c>
      <c r="M62">
        <f t="shared" si="7"/>
        <v>354</v>
      </c>
    </row>
    <row r="63" spans="1:13" ht="13.5" thickBot="1">
      <c r="A63" s="82" t="s">
        <v>293</v>
      </c>
      <c r="B63" s="93" t="s">
        <v>150</v>
      </c>
      <c r="C63" s="29">
        <v>8</v>
      </c>
      <c r="D63" s="93">
        <v>1959</v>
      </c>
      <c r="E63" s="93" t="s">
        <v>148</v>
      </c>
      <c r="F63" s="29">
        <f>+C64-1</f>
        <v>27</v>
      </c>
      <c r="G63" s="29">
        <v>1960</v>
      </c>
      <c r="H63" s="95" t="s">
        <v>159</v>
      </c>
      <c r="I63" s="18" t="str">
        <f t="shared" si="0"/>
        <v>8-Feb-1959</v>
      </c>
      <c r="J63" s="18" t="str">
        <f t="shared" si="1"/>
        <v>27-Ene-1960</v>
      </c>
      <c r="K63" s="111">
        <f t="shared" si="2"/>
        <v>21589</v>
      </c>
      <c r="L63" s="111">
        <f t="shared" si="3"/>
        <v>21942</v>
      </c>
      <c r="M63">
        <f t="shared" si="7"/>
        <v>353</v>
      </c>
    </row>
    <row r="64" spans="1:13">
      <c r="A64" s="98" t="s">
        <v>147</v>
      </c>
      <c r="B64" s="99" t="s">
        <v>148</v>
      </c>
      <c r="C64" s="100">
        <v>28</v>
      </c>
      <c r="D64" s="99">
        <v>1960</v>
      </c>
      <c r="E64" s="101" t="s">
        <v>150</v>
      </c>
      <c r="F64" s="87">
        <f>+C65-1</f>
        <v>14</v>
      </c>
      <c r="G64" s="100">
        <v>1961</v>
      </c>
      <c r="H64" s="102" t="s">
        <v>149</v>
      </c>
      <c r="I64" s="18" t="str">
        <f t="shared" si="0"/>
        <v>28-Ene-1960</v>
      </c>
      <c r="J64" s="18" t="str">
        <f t="shared" si="1"/>
        <v>14-Feb-1961</v>
      </c>
      <c r="K64" s="111">
        <f t="shared" si="2"/>
        <v>21943</v>
      </c>
      <c r="L64" s="111">
        <f t="shared" si="3"/>
        <v>22326</v>
      </c>
      <c r="M64">
        <f t="shared" si="7"/>
        <v>383</v>
      </c>
    </row>
    <row r="65" spans="1:13">
      <c r="A65" s="77" t="s">
        <v>253</v>
      </c>
      <c r="B65" s="90" t="s">
        <v>150</v>
      </c>
      <c r="C65" s="26">
        <v>15</v>
      </c>
      <c r="D65" s="90">
        <v>1961</v>
      </c>
      <c r="E65" s="91" t="s">
        <v>150</v>
      </c>
      <c r="F65" s="26">
        <f>+C66-1</f>
        <v>4</v>
      </c>
      <c r="G65" s="26">
        <v>1962</v>
      </c>
      <c r="H65" s="92" t="s">
        <v>149</v>
      </c>
      <c r="I65" s="18" t="str">
        <f t="shared" si="0"/>
        <v>15-Feb-1961</v>
      </c>
      <c r="J65" s="18" t="str">
        <f t="shared" si="1"/>
        <v>4-Feb-1962</v>
      </c>
      <c r="K65" s="111">
        <f t="shared" si="2"/>
        <v>22327</v>
      </c>
      <c r="L65" s="111">
        <f t="shared" si="3"/>
        <v>22681</v>
      </c>
      <c r="M65">
        <f t="shared" si="7"/>
        <v>354</v>
      </c>
    </row>
    <row r="66" spans="1:13">
      <c r="A66" s="77" t="s">
        <v>151</v>
      </c>
      <c r="B66" s="90" t="s">
        <v>150</v>
      </c>
      <c r="C66" s="26">
        <v>5</v>
      </c>
      <c r="D66" s="90">
        <v>1962</v>
      </c>
      <c r="E66" s="91" t="s">
        <v>148</v>
      </c>
      <c r="F66" s="26">
        <f t="shared" ref="F66:F74" si="9">+C67-1</f>
        <v>24</v>
      </c>
      <c r="G66" s="26">
        <v>1963</v>
      </c>
      <c r="H66" s="92" t="s">
        <v>152</v>
      </c>
      <c r="I66" s="18" t="str">
        <f t="shared" si="0"/>
        <v>5-Feb-1962</v>
      </c>
      <c r="J66" s="18" t="str">
        <f t="shared" si="1"/>
        <v>24-Ene-1963</v>
      </c>
      <c r="K66" s="111">
        <f t="shared" si="2"/>
        <v>22682</v>
      </c>
      <c r="L66" s="111">
        <f t="shared" si="3"/>
        <v>23035</v>
      </c>
      <c r="M66">
        <f t="shared" si="7"/>
        <v>353</v>
      </c>
    </row>
    <row r="67" spans="1:13">
      <c r="A67" s="77" t="s">
        <v>153</v>
      </c>
      <c r="B67" s="90" t="s">
        <v>148</v>
      </c>
      <c r="C67" s="26">
        <v>25</v>
      </c>
      <c r="D67" s="90">
        <v>1963</v>
      </c>
      <c r="E67" s="91" t="s">
        <v>150</v>
      </c>
      <c r="F67" s="26">
        <f t="shared" si="9"/>
        <v>12</v>
      </c>
      <c r="G67" s="26">
        <v>1964</v>
      </c>
      <c r="H67" s="92" t="s">
        <v>152</v>
      </c>
      <c r="I67" s="18" t="str">
        <f t="shared" si="0"/>
        <v>25-Ene-1963</v>
      </c>
      <c r="J67" s="18" t="str">
        <f t="shared" si="1"/>
        <v>12-Feb-1964</v>
      </c>
      <c r="K67" s="111">
        <f t="shared" si="2"/>
        <v>23036</v>
      </c>
      <c r="L67" s="111">
        <f t="shared" si="3"/>
        <v>23419</v>
      </c>
      <c r="M67">
        <f t="shared" si="7"/>
        <v>383</v>
      </c>
    </row>
    <row r="68" spans="1:13">
      <c r="A68" s="77" t="s">
        <v>162</v>
      </c>
      <c r="B68" s="90" t="s">
        <v>150</v>
      </c>
      <c r="C68" s="26">
        <v>13</v>
      </c>
      <c r="D68" s="90">
        <v>1964</v>
      </c>
      <c r="E68" s="91" t="s">
        <v>150</v>
      </c>
      <c r="F68" s="26">
        <f t="shared" si="9"/>
        <v>1</v>
      </c>
      <c r="G68" s="26">
        <v>1965</v>
      </c>
      <c r="H68" s="92" t="s">
        <v>154</v>
      </c>
      <c r="I68" s="18" t="str">
        <f t="shared" si="0"/>
        <v>13-Feb-1964</v>
      </c>
      <c r="J68" s="18" t="str">
        <f t="shared" si="1"/>
        <v>1-Feb-1965</v>
      </c>
      <c r="K68" s="111">
        <f t="shared" si="2"/>
        <v>23420</v>
      </c>
      <c r="L68" s="111">
        <f t="shared" si="3"/>
        <v>23774</v>
      </c>
      <c r="M68">
        <f t="shared" si="7"/>
        <v>354</v>
      </c>
    </row>
    <row r="69" spans="1:13">
      <c r="A69" s="77" t="s">
        <v>155</v>
      </c>
      <c r="B69" s="90" t="s">
        <v>150</v>
      </c>
      <c r="C69" s="26">
        <v>2</v>
      </c>
      <c r="D69" s="90">
        <v>1965</v>
      </c>
      <c r="E69" s="91" t="s">
        <v>148</v>
      </c>
      <c r="F69" s="26">
        <f t="shared" si="9"/>
        <v>20</v>
      </c>
      <c r="G69" s="26">
        <v>1966</v>
      </c>
      <c r="H69" s="92" t="s">
        <v>154</v>
      </c>
      <c r="I69" s="18" t="str">
        <f t="shared" ref="I69:I111" si="10">CONCATENATE(TEXT(C69,"##"),"-", MID(B69,1,3),"-",TEXT(D69,"###0"))</f>
        <v>2-Feb-1965</v>
      </c>
      <c r="J69" s="18" t="str">
        <f t="shared" ref="J69:J111" si="11">CONCATENATE(TEXT(F69,"##"),"-", MID(E69,1,3),"-",TEXT(G69,"###0"))</f>
        <v>20-Ene-1966</v>
      </c>
      <c r="K69" s="111">
        <f t="shared" ref="K69:K111" si="12">DATE(D69,MONTH(I69),C69)</f>
        <v>23775</v>
      </c>
      <c r="L69" s="111">
        <f t="shared" ref="L69:L111" si="13">DATE(G69,MONTH(J69),F69)</f>
        <v>24127</v>
      </c>
      <c r="M69">
        <f t="shared" si="7"/>
        <v>352</v>
      </c>
    </row>
    <row r="70" spans="1:13">
      <c r="A70" s="77" t="s">
        <v>156</v>
      </c>
      <c r="B70" s="90" t="s">
        <v>148</v>
      </c>
      <c r="C70" s="26">
        <v>21</v>
      </c>
      <c r="D70" s="90">
        <v>1966</v>
      </c>
      <c r="E70" s="91" t="s">
        <v>150</v>
      </c>
      <c r="F70" s="26">
        <f t="shared" si="9"/>
        <v>8</v>
      </c>
      <c r="G70" s="26">
        <v>1967</v>
      </c>
      <c r="H70" s="92" t="s">
        <v>157</v>
      </c>
      <c r="I70" s="18" t="str">
        <f t="shared" si="10"/>
        <v>21-Ene-1966</v>
      </c>
      <c r="J70" s="18" t="str">
        <f t="shared" si="11"/>
        <v>8-Feb-1967</v>
      </c>
      <c r="K70" s="111">
        <f t="shared" si="12"/>
        <v>24128</v>
      </c>
      <c r="L70" s="111">
        <f t="shared" si="13"/>
        <v>24511</v>
      </c>
      <c r="M70">
        <f t="shared" si="7"/>
        <v>383</v>
      </c>
    </row>
    <row r="71" spans="1:13">
      <c r="A71" s="77" t="s">
        <v>254</v>
      </c>
      <c r="B71" s="90" t="s">
        <v>150</v>
      </c>
      <c r="C71" s="26">
        <v>9</v>
      </c>
      <c r="D71" s="90">
        <v>1967</v>
      </c>
      <c r="E71" s="91" t="s">
        <v>148</v>
      </c>
      <c r="F71" s="26">
        <f t="shared" si="9"/>
        <v>29</v>
      </c>
      <c r="G71" s="26">
        <v>1968</v>
      </c>
      <c r="H71" s="92" t="s">
        <v>157</v>
      </c>
      <c r="I71" s="18" t="str">
        <f t="shared" si="10"/>
        <v>9-Feb-1967</v>
      </c>
      <c r="J71" s="18" t="str">
        <f t="shared" si="11"/>
        <v>29-Ene-1968</v>
      </c>
      <c r="K71" s="111">
        <f t="shared" si="12"/>
        <v>24512</v>
      </c>
      <c r="L71" s="111">
        <f t="shared" si="13"/>
        <v>24866</v>
      </c>
      <c r="M71">
        <f t="shared" si="7"/>
        <v>354</v>
      </c>
    </row>
    <row r="72" spans="1:13">
      <c r="A72" s="77" t="s">
        <v>158</v>
      </c>
      <c r="B72" s="90" t="s">
        <v>148</v>
      </c>
      <c r="C72" s="26">
        <v>30</v>
      </c>
      <c r="D72" s="90">
        <v>1968</v>
      </c>
      <c r="E72" s="91" t="s">
        <v>150</v>
      </c>
      <c r="F72" s="26">
        <f t="shared" si="9"/>
        <v>16</v>
      </c>
      <c r="G72" s="26">
        <v>1969</v>
      </c>
      <c r="H72" s="92" t="s">
        <v>159</v>
      </c>
      <c r="I72" s="18" t="str">
        <f t="shared" si="10"/>
        <v>30-Ene-1968</v>
      </c>
      <c r="J72" s="18" t="str">
        <f t="shared" si="11"/>
        <v>16-Feb-1969</v>
      </c>
      <c r="K72" s="111">
        <f t="shared" si="12"/>
        <v>24867</v>
      </c>
      <c r="L72" s="111">
        <f t="shared" si="13"/>
        <v>25250</v>
      </c>
      <c r="M72">
        <f t="shared" si="7"/>
        <v>383</v>
      </c>
    </row>
    <row r="73" spans="1:13">
      <c r="A73" s="77" t="s">
        <v>160</v>
      </c>
      <c r="B73" s="90" t="s">
        <v>150</v>
      </c>
      <c r="C73" s="26">
        <v>17</v>
      </c>
      <c r="D73" s="90">
        <v>1969</v>
      </c>
      <c r="E73" s="91" t="s">
        <v>150</v>
      </c>
      <c r="F73" s="26">
        <f t="shared" si="9"/>
        <v>5</v>
      </c>
      <c r="G73" s="26">
        <v>1970</v>
      </c>
      <c r="H73" s="92" t="s">
        <v>159</v>
      </c>
      <c r="I73" s="18" t="str">
        <f t="shared" si="10"/>
        <v>17-Feb-1969</v>
      </c>
      <c r="J73" s="18" t="str">
        <f t="shared" si="11"/>
        <v>5-Feb-1970</v>
      </c>
      <c r="K73" s="111">
        <f t="shared" si="12"/>
        <v>25251</v>
      </c>
      <c r="L73" s="111">
        <f t="shared" si="13"/>
        <v>25604</v>
      </c>
      <c r="M73">
        <f t="shared" si="7"/>
        <v>353</v>
      </c>
    </row>
    <row r="74" spans="1:13">
      <c r="A74" s="77" t="s">
        <v>161</v>
      </c>
      <c r="B74" s="90" t="s">
        <v>150</v>
      </c>
      <c r="C74" s="26">
        <v>6</v>
      </c>
      <c r="D74" s="90">
        <v>1970</v>
      </c>
      <c r="E74" s="91" t="s">
        <v>148</v>
      </c>
      <c r="F74" s="26">
        <f t="shared" si="9"/>
        <v>26</v>
      </c>
      <c r="G74" s="26">
        <v>1971</v>
      </c>
      <c r="H74" s="92" t="s">
        <v>149</v>
      </c>
      <c r="I74" s="18" t="str">
        <f t="shared" si="10"/>
        <v>6-Feb-1970</v>
      </c>
      <c r="J74" s="18" t="str">
        <f t="shared" si="11"/>
        <v>26-Ene-1971</v>
      </c>
      <c r="K74" s="111">
        <f t="shared" si="12"/>
        <v>25605</v>
      </c>
      <c r="L74" s="111">
        <f t="shared" si="13"/>
        <v>25959</v>
      </c>
      <c r="M74">
        <f t="shared" si="7"/>
        <v>354</v>
      </c>
    </row>
    <row r="75" spans="1:13" ht="13.5" thickBot="1">
      <c r="A75" s="82" t="s">
        <v>293</v>
      </c>
      <c r="B75" s="93" t="s">
        <v>148</v>
      </c>
      <c r="C75" s="29">
        <v>27</v>
      </c>
      <c r="D75" s="93">
        <v>1971</v>
      </c>
      <c r="E75" s="94" t="s">
        <v>150</v>
      </c>
      <c r="F75" s="29">
        <f>+C76-1</f>
        <v>15</v>
      </c>
      <c r="G75" s="29">
        <v>1972</v>
      </c>
      <c r="H75" s="95" t="s">
        <v>149</v>
      </c>
      <c r="I75" s="18" t="str">
        <f t="shared" si="10"/>
        <v>27-Ene-1971</v>
      </c>
      <c r="J75" s="18" t="str">
        <f t="shared" si="11"/>
        <v>15-Feb-1972</v>
      </c>
      <c r="K75" s="111">
        <f t="shared" si="12"/>
        <v>25960</v>
      </c>
      <c r="L75" s="111">
        <f t="shared" si="13"/>
        <v>26344</v>
      </c>
      <c r="M75">
        <f t="shared" si="7"/>
        <v>384</v>
      </c>
    </row>
    <row r="76" spans="1:13">
      <c r="A76" s="72" t="s">
        <v>147</v>
      </c>
      <c r="B76" s="96" t="s">
        <v>150</v>
      </c>
      <c r="C76" s="87">
        <v>16</v>
      </c>
      <c r="D76" s="96">
        <v>1972</v>
      </c>
      <c r="E76" s="88" t="s">
        <v>150</v>
      </c>
      <c r="F76" s="87">
        <f>+C77-1</f>
        <v>2</v>
      </c>
      <c r="G76" s="87">
        <v>1973</v>
      </c>
      <c r="H76" s="97" t="s">
        <v>152</v>
      </c>
      <c r="I76" s="18" t="str">
        <f t="shared" si="10"/>
        <v>16-Feb-1972</v>
      </c>
      <c r="J76" s="18" t="str">
        <f t="shared" si="11"/>
        <v>2-Feb-1973</v>
      </c>
      <c r="K76" s="111">
        <f t="shared" si="12"/>
        <v>26345</v>
      </c>
      <c r="L76" s="111">
        <f t="shared" si="13"/>
        <v>26697</v>
      </c>
      <c r="M76">
        <f t="shared" si="7"/>
        <v>352</v>
      </c>
    </row>
    <row r="77" spans="1:13">
      <c r="A77" s="77" t="s">
        <v>253</v>
      </c>
      <c r="B77" s="90" t="s">
        <v>150</v>
      </c>
      <c r="C77" s="26">
        <v>3</v>
      </c>
      <c r="D77" s="90">
        <v>1973</v>
      </c>
      <c r="E77" s="91" t="s">
        <v>148</v>
      </c>
      <c r="F77" s="26">
        <f>+C78-1</f>
        <v>22</v>
      </c>
      <c r="G77" s="26">
        <v>1974</v>
      </c>
      <c r="H77" s="92" t="s">
        <v>152</v>
      </c>
      <c r="I77" s="18" t="str">
        <f t="shared" si="10"/>
        <v>3-Feb-1973</v>
      </c>
      <c r="J77" s="18" t="str">
        <f t="shared" si="11"/>
        <v>22-Ene-1974</v>
      </c>
      <c r="K77" s="111">
        <f t="shared" si="12"/>
        <v>26698</v>
      </c>
      <c r="L77" s="111">
        <f t="shared" si="13"/>
        <v>27051</v>
      </c>
      <c r="M77">
        <f t="shared" si="7"/>
        <v>353</v>
      </c>
    </row>
    <row r="78" spans="1:13">
      <c r="A78" s="77" t="s">
        <v>151</v>
      </c>
      <c r="B78" s="90" t="s">
        <v>148</v>
      </c>
      <c r="C78" s="26">
        <v>23</v>
      </c>
      <c r="D78" s="90">
        <v>1974</v>
      </c>
      <c r="E78" s="91" t="s">
        <v>150</v>
      </c>
      <c r="F78" s="26">
        <f t="shared" ref="F78:F86" si="14">+C79-1</f>
        <v>10</v>
      </c>
      <c r="G78" s="26">
        <v>1975</v>
      </c>
      <c r="H78" s="92" t="s">
        <v>154</v>
      </c>
      <c r="I78" s="18" t="str">
        <f t="shared" si="10"/>
        <v>23-Ene-1974</v>
      </c>
      <c r="J78" s="18" t="str">
        <f t="shared" si="11"/>
        <v>10-Feb-1975</v>
      </c>
      <c r="K78" s="111">
        <f t="shared" si="12"/>
        <v>27052</v>
      </c>
      <c r="L78" s="111">
        <f t="shared" si="13"/>
        <v>27435</v>
      </c>
      <c r="M78">
        <f t="shared" si="7"/>
        <v>383</v>
      </c>
    </row>
    <row r="79" spans="1:13">
      <c r="A79" s="77" t="s">
        <v>153</v>
      </c>
      <c r="B79" s="90" t="s">
        <v>150</v>
      </c>
      <c r="C79" s="26">
        <v>11</v>
      </c>
      <c r="D79" s="90">
        <v>1975</v>
      </c>
      <c r="E79" s="91" t="s">
        <v>148</v>
      </c>
      <c r="F79" s="26">
        <f t="shared" si="14"/>
        <v>30</v>
      </c>
      <c r="G79" s="26">
        <v>1976</v>
      </c>
      <c r="H79" s="92" t="s">
        <v>154</v>
      </c>
      <c r="I79" s="18" t="str">
        <f t="shared" si="10"/>
        <v>11-Feb-1975</v>
      </c>
      <c r="J79" s="18" t="str">
        <f t="shared" si="11"/>
        <v>30-Ene-1976</v>
      </c>
      <c r="K79" s="111">
        <f t="shared" si="12"/>
        <v>27436</v>
      </c>
      <c r="L79" s="111">
        <f t="shared" si="13"/>
        <v>27789</v>
      </c>
      <c r="M79">
        <f t="shared" si="7"/>
        <v>353</v>
      </c>
    </row>
    <row r="80" spans="1:13">
      <c r="A80" s="77" t="s">
        <v>162</v>
      </c>
      <c r="B80" s="90" t="s">
        <v>148</v>
      </c>
      <c r="C80" s="26">
        <v>31</v>
      </c>
      <c r="D80" s="90">
        <v>1976</v>
      </c>
      <c r="E80" s="91" t="s">
        <v>150</v>
      </c>
      <c r="F80" s="26">
        <f t="shared" si="14"/>
        <v>17</v>
      </c>
      <c r="G80" s="26">
        <v>1977</v>
      </c>
      <c r="H80" s="92" t="s">
        <v>157</v>
      </c>
      <c r="I80" s="18" t="str">
        <f t="shared" si="10"/>
        <v>31-Ene-1976</v>
      </c>
      <c r="J80" s="18" t="str">
        <f t="shared" si="11"/>
        <v>17-Feb-1977</v>
      </c>
      <c r="K80" s="111">
        <f t="shared" si="12"/>
        <v>27790</v>
      </c>
      <c r="L80" s="111">
        <f t="shared" si="13"/>
        <v>28173</v>
      </c>
      <c r="M80">
        <f t="shared" si="7"/>
        <v>383</v>
      </c>
    </row>
    <row r="81" spans="1:13">
      <c r="A81" s="77" t="s">
        <v>155</v>
      </c>
      <c r="B81" s="90" t="s">
        <v>150</v>
      </c>
      <c r="C81" s="26">
        <v>18</v>
      </c>
      <c r="D81" s="90">
        <v>1977</v>
      </c>
      <c r="E81" s="91" t="s">
        <v>150</v>
      </c>
      <c r="F81" s="26">
        <f t="shared" si="14"/>
        <v>6</v>
      </c>
      <c r="G81" s="26">
        <v>1978</v>
      </c>
      <c r="H81" s="92" t="s">
        <v>157</v>
      </c>
      <c r="I81" s="18" t="str">
        <f t="shared" si="10"/>
        <v>18-Feb-1977</v>
      </c>
      <c r="J81" s="18" t="str">
        <f t="shared" si="11"/>
        <v>6-Feb-1978</v>
      </c>
      <c r="K81" s="111">
        <f t="shared" si="12"/>
        <v>28174</v>
      </c>
      <c r="L81" s="111">
        <f t="shared" si="13"/>
        <v>28527</v>
      </c>
      <c r="M81">
        <f t="shared" si="7"/>
        <v>353</v>
      </c>
    </row>
    <row r="82" spans="1:13">
      <c r="A82" s="77" t="s">
        <v>156</v>
      </c>
      <c r="B82" s="90" t="s">
        <v>150</v>
      </c>
      <c r="C82" s="26">
        <v>7</v>
      </c>
      <c r="D82" s="90">
        <v>1978</v>
      </c>
      <c r="E82" s="91" t="s">
        <v>148</v>
      </c>
      <c r="F82" s="26">
        <f t="shared" si="14"/>
        <v>27</v>
      </c>
      <c r="G82" s="26">
        <v>1979</v>
      </c>
      <c r="H82" s="92" t="s">
        <v>159</v>
      </c>
      <c r="I82" s="18" t="str">
        <f t="shared" si="10"/>
        <v>7-Feb-1978</v>
      </c>
      <c r="J82" s="18" t="str">
        <f t="shared" si="11"/>
        <v>27-Ene-1979</v>
      </c>
      <c r="K82" s="111">
        <f t="shared" si="12"/>
        <v>28528</v>
      </c>
      <c r="L82" s="111">
        <f t="shared" si="13"/>
        <v>28882</v>
      </c>
      <c r="M82">
        <f t="shared" si="7"/>
        <v>354</v>
      </c>
    </row>
    <row r="83" spans="1:13">
      <c r="A83" s="77" t="s">
        <v>254</v>
      </c>
      <c r="B83" s="90" t="s">
        <v>148</v>
      </c>
      <c r="C83" s="26">
        <v>28</v>
      </c>
      <c r="D83" s="90">
        <v>1979</v>
      </c>
      <c r="E83" s="91" t="s">
        <v>150</v>
      </c>
      <c r="F83" s="26">
        <f t="shared" si="14"/>
        <v>15</v>
      </c>
      <c r="G83" s="26">
        <v>1980</v>
      </c>
      <c r="H83" s="92" t="s">
        <v>159</v>
      </c>
      <c r="I83" s="18" t="str">
        <f t="shared" si="10"/>
        <v>28-Ene-1979</v>
      </c>
      <c r="J83" s="18" t="str">
        <f t="shared" si="11"/>
        <v>15-Feb-1980</v>
      </c>
      <c r="K83" s="111">
        <f t="shared" si="12"/>
        <v>28883</v>
      </c>
      <c r="L83" s="111">
        <f t="shared" si="13"/>
        <v>29266</v>
      </c>
      <c r="M83">
        <f t="shared" si="7"/>
        <v>383</v>
      </c>
    </row>
    <row r="84" spans="1:13">
      <c r="A84" s="77" t="s">
        <v>158</v>
      </c>
      <c r="B84" s="90" t="s">
        <v>150</v>
      </c>
      <c r="C84" s="26">
        <v>16</v>
      </c>
      <c r="D84" s="90">
        <v>1980</v>
      </c>
      <c r="E84" s="91" t="s">
        <v>150</v>
      </c>
      <c r="F84" s="26">
        <f t="shared" si="14"/>
        <v>4</v>
      </c>
      <c r="G84" s="26">
        <v>1981</v>
      </c>
      <c r="H84" s="92" t="s">
        <v>149</v>
      </c>
      <c r="I84" s="18" t="str">
        <f t="shared" si="10"/>
        <v>16-Feb-1980</v>
      </c>
      <c r="J84" s="18" t="str">
        <f t="shared" si="11"/>
        <v>4-Feb-1981</v>
      </c>
      <c r="K84" s="111">
        <f t="shared" si="12"/>
        <v>29267</v>
      </c>
      <c r="L84" s="111">
        <f t="shared" si="13"/>
        <v>29621</v>
      </c>
      <c r="M84">
        <f t="shared" si="7"/>
        <v>354</v>
      </c>
    </row>
    <row r="85" spans="1:13">
      <c r="A85" s="77" t="s">
        <v>160</v>
      </c>
      <c r="B85" s="90" t="s">
        <v>150</v>
      </c>
      <c r="C85" s="26">
        <v>5</v>
      </c>
      <c r="D85" s="90">
        <v>1981</v>
      </c>
      <c r="E85" s="91" t="s">
        <v>148</v>
      </c>
      <c r="F85" s="26">
        <f t="shared" si="14"/>
        <v>24</v>
      </c>
      <c r="G85" s="26">
        <v>1982</v>
      </c>
      <c r="H85" s="92" t="s">
        <v>149</v>
      </c>
      <c r="I85" s="18" t="str">
        <f t="shared" si="10"/>
        <v>5-Feb-1981</v>
      </c>
      <c r="J85" s="18" t="str">
        <f t="shared" si="11"/>
        <v>24-Ene-1982</v>
      </c>
      <c r="K85" s="111">
        <f t="shared" si="12"/>
        <v>29622</v>
      </c>
      <c r="L85" s="111">
        <f t="shared" si="13"/>
        <v>29975</v>
      </c>
      <c r="M85">
        <f t="shared" si="7"/>
        <v>353</v>
      </c>
    </row>
    <row r="86" spans="1:13">
      <c r="A86" s="77" t="s">
        <v>161</v>
      </c>
      <c r="B86" s="90" t="s">
        <v>148</v>
      </c>
      <c r="C86" s="26">
        <v>25</v>
      </c>
      <c r="D86" s="90">
        <v>1982</v>
      </c>
      <c r="E86" s="91" t="s">
        <v>150</v>
      </c>
      <c r="F86" s="26">
        <f t="shared" si="14"/>
        <v>12</v>
      </c>
      <c r="G86" s="26">
        <v>1983</v>
      </c>
      <c r="H86" s="92" t="s">
        <v>152</v>
      </c>
      <c r="I86" s="18" t="str">
        <f t="shared" si="10"/>
        <v>25-Ene-1982</v>
      </c>
      <c r="J86" s="18" t="str">
        <f t="shared" si="11"/>
        <v>12-Feb-1983</v>
      </c>
      <c r="K86" s="111">
        <f t="shared" si="12"/>
        <v>29976</v>
      </c>
      <c r="L86" s="111">
        <f t="shared" si="13"/>
        <v>30359</v>
      </c>
      <c r="M86">
        <f t="shared" si="7"/>
        <v>383</v>
      </c>
    </row>
    <row r="87" spans="1:13" ht="13.5" thickBot="1">
      <c r="A87" s="82" t="s">
        <v>293</v>
      </c>
      <c r="B87" s="93" t="s">
        <v>150</v>
      </c>
      <c r="C87" s="29">
        <v>13</v>
      </c>
      <c r="D87" s="93">
        <v>1983</v>
      </c>
      <c r="E87" s="94" t="s">
        <v>150</v>
      </c>
      <c r="F87" s="29">
        <f>+C88-1</f>
        <v>1</v>
      </c>
      <c r="G87" s="29">
        <v>1984</v>
      </c>
      <c r="H87" s="95" t="s">
        <v>152</v>
      </c>
      <c r="I87" s="18" t="str">
        <f t="shared" si="10"/>
        <v>13-Feb-1983</v>
      </c>
      <c r="J87" s="18" t="str">
        <f t="shared" si="11"/>
        <v>1-Feb-1984</v>
      </c>
      <c r="K87" s="111">
        <f t="shared" si="12"/>
        <v>30360</v>
      </c>
      <c r="L87" s="111">
        <f t="shared" si="13"/>
        <v>30713</v>
      </c>
      <c r="M87">
        <f t="shared" si="7"/>
        <v>353</v>
      </c>
    </row>
    <row r="88" spans="1:13">
      <c r="A88" s="72" t="s">
        <v>147</v>
      </c>
      <c r="B88" s="96" t="s">
        <v>150</v>
      </c>
      <c r="C88" s="87">
        <v>2</v>
      </c>
      <c r="D88" s="96">
        <v>1984</v>
      </c>
      <c r="E88" s="88" t="s">
        <v>150</v>
      </c>
      <c r="F88" s="87">
        <f>+C89-1</f>
        <v>19</v>
      </c>
      <c r="G88" s="87">
        <v>1985</v>
      </c>
      <c r="H88" s="97" t="s">
        <v>154</v>
      </c>
      <c r="I88" s="18" t="str">
        <f t="shared" si="10"/>
        <v>2-Feb-1984</v>
      </c>
      <c r="J88" s="18" t="str">
        <f t="shared" si="11"/>
        <v>19-Feb-1985</v>
      </c>
      <c r="K88" s="111">
        <f t="shared" si="12"/>
        <v>30714</v>
      </c>
      <c r="L88" s="111">
        <f t="shared" si="13"/>
        <v>31097</v>
      </c>
      <c r="M88">
        <f t="shared" si="7"/>
        <v>383</v>
      </c>
    </row>
    <row r="89" spans="1:13">
      <c r="A89" s="77" t="s">
        <v>253</v>
      </c>
      <c r="B89" s="90" t="s">
        <v>150</v>
      </c>
      <c r="C89" s="26">
        <v>20</v>
      </c>
      <c r="D89" s="90">
        <v>1985</v>
      </c>
      <c r="E89" s="91" t="s">
        <v>150</v>
      </c>
      <c r="F89" s="26">
        <f>+C90-1</f>
        <v>8</v>
      </c>
      <c r="G89" s="26">
        <v>1986</v>
      </c>
      <c r="H89" s="92" t="s">
        <v>154</v>
      </c>
      <c r="I89" s="18" t="str">
        <f t="shared" si="10"/>
        <v>20-Feb-1985</v>
      </c>
      <c r="J89" s="18" t="str">
        <f t="shared" si="11"/>
        <v>8-Feb-1986</v>
      </c>
      <c r="K89" s="111">
        <f t="shared" si="12"/>
        <v>31098</v>
      </c>
      <c r="L89" s="111">
        <f t="shared" si="13"/>
        <v>31451</v>
      </c>
      <c r="M89">
        <f t="shared" si="7"/>
        <v>353</v>
      </c>
    </row>
    <row r="90" spans="1:13">
      <c r="A90" s="77" t="s">
        <v>151</v>
      </c>
      <c r="B90" s="90" t="s">
        <v>150</v>
      </c>
      <c r="C90" s="26">
        <v>9</v>
      </c>
      <c r="D90" s="90">
        <v>1986</v>
      </c>
      <c r="E90" s="91" t="s">
        <v>148</v>
      </c>
      <c r="F90" s="26">
        <f t="shared" ref="F90:F98" si="15">+C91-1</f>
        <v>28</v>
      </c>
      <c r="G90" s="26">
        <v>1987</v>
      </c>
      <c r="H90" s="92" t="s">
        <v>157</v>
      </c>
      <c r="I90" s="18" t="str">
        <f t="shared" si="10"/>
        <v>9-Feb-1986</v>
      </c>
      <c r="J90" s="18" t="str">
        <f t="shared" si="11"/>
        <v>28-Ene-1987</v>
      </c>
      <c r="K90" s="111">
        <f t="shared" si="12"/>
        <v>31452</v>
      </c>
      <c r="L90" s="111">
        <f t="shared" si="13"/>
        <v>31805</v>
      </c>
      <c r="M90">
        <f t="shared" si="7"/>
        <v>353</v>
      </c>
    </row>
    <row r="91" spans="1:13">
      <c r="A91" s="77" t="s">
        <v>153</v>
      </c>
      <c r="B91" s="90" t="s">
        <v>148</v>
      </c>
      <c r="C91" s="26">
        <v>29</v>
      </c>
      <c r="D91" s="90">
        <v>1987</v>
      </c>
      <c r="E91" s="91" t="s">
        <v>150</v>
      </c>
      <c r="F91" s="26">
        <f t="shared" si="15"/>
        <v>16</v>
      </c>
      <c r="G91" s="26">
        <v>1988</v>
      </c>
      <c r="H91" s="92" t="s">
        <v>157</v>
      </c>
      <c r="I91" s="18" t="str">
        <f t="shared" si="10"/>
        <v>29-Ene-1987</v>
      </c>
      <c r="J91" s="18" t="str">
        <f t="shared" si="11"/>
        <v>16-Feb-1988</v>
      </c>
      <c r="K91" s="111">
        <f t="shared" si="12"/>
        <v>31806</v>
      </c>
      <c r="L91" s="111">
        <f t="shared" si="13"/>
        <v>32189</v>
      </c>
      <c r="M91">
        <f t="shared" si="7"/>
        <v>383</v>
      </c>
    </row>
    <row r="92" spans="1:13">
      <c r="A92" s="77" t="s">
        <v>162</v>
      </c>
      <c r="B92" s="90" t="s">
        <v>150</v>
      </c>
      <c r="C92" s="26">
        <v>17</v>
      </c>
      <c r="D92" s="90">
        <v>1988</v>
      </c>
      <c r="E92" s="91" t="s">
        <v>150</v>
      </c>
      <c r="F92" s="26">
        <f t="shared" si="15"/>
        <v>5</v>
      </c>
      <c r="G92" s="26">
        <v>1989</v>
      </c>
      <c r="H92" s="92" t="s">
        <v>159</v>
      </c>
      <c r="I92" s="18" t="str">
        <f t="shared" si="10"/>
        <v>17-Feb-1988</v>
      </c>
      <c r="J92" s="18" t="str">
        <f t="shared" si="11"/>
        <v>5-Feb-1989</v>
      </c>
      <c r="K92" s="111">
        <f t="shared" si="12"/>
        <v>32190</v>
      </c>
      <c r="L92" s="111">
        <f t="shared" si="13"/>
        <v>32544</v>
      </c>
      <c r="M92">
        <f t="shared" si="7"/>
        <v>354</v>
      </c>
    </row>
    <row r="93" spans="1:13">
      <c r="A93" s="77" t="s">
        <v>155</v>
      </c>
      <c r="B93" s="90" t="s">
        <v>150</v>
      </c>
      <c r="C93" s="26">
        <v>6</v>
      </c>
      <c r="D93" s="90">
        <v>1989</v>
      </c>
      <c r="E93" s="91" t="s">
        <v>148</v>
      </c>
      <c r="F93" s="26">
        <f t="shared" si="15"/>
        <v>26</v>
      </c>
      <c r="G93" s="26">
        <v>1990</v>
      </c>
      <c r="H93" s="92" t="s">
        <v>159</v>
      </c>
      <c r="I93" s="18" t="str">
        <f t="shared" si="10"/>
        <v>6-Feb-1989</v>
      </c>
      <c r="J93" s="18" t="str">
        <f t="shared" si="11"/>
        <v>26-Ene-1990</v>
      </c>
      <c r="K93" s="111">
        <f t="shared" si="12"/>
        <v>32545</v>
      </c>
      <c r="L93" s="111">
        <f t="shared" si="13"/>
        <v>32899</v>
      </c>
      <c r="M93">
        <f t="shared" si="7"/>
        <v>354</v>
      </c>
    </row>
    <row r="94" spans="1:13">
      <c r="A94" s="77" t="s">
        <v>156</v>
      </c>
      <c r="B94" s="90" t="s">
        <v>148</v>
      </c>
      <c r="C94" s="26">
        <v>27</v>
      </c>
      <c r="D94" s="90">
        <v>1990</v>
      </c>
      <c r="E94" s="91" t="s">
        <v>150</v>
      </c>
      <c r="F94" s="26">
        <f t="shared" si="15"/>
        <v>14</v>
      </c>
      <c r="G94" s="26">
        <v>1991</v>
      </c>
      <c r="H94" s="92" t="s">
        <v>149</v>
      </c>
      <c r="I94" s="18" t="str">
        <f t="shared" si="10"/>
        <v>27-Ene-1990</v>
      </c>
      <c r="J94" s="18" t="str">
        <f t="shared" si="11"/>
        <v>14-Feb-1991</v>
      </c>
      <c r="K94" s="111">
        <f t="shared" si="12"/>
        <v>32900</v>
      </c>
      <c r="L94" s="111">
        <f t="shared" si="13"/>
        <v>33283</v>
      </c>
      <c r="M94">
        <f t="shared" si="7"/>
        <v>383</v>
      </c>
    </row>
    <row r="95" spans="1:13">
      <c r="A95" s="77" t="s">
        <v>254</v>
      </c>
      <c r="B95" s="90" t="s">
        <v>150</v>
      </c>
      <c r="C95" s="26">
        <v>15</v>
      </c>
      <c r="D95" s="90">
        <v>1991</v>
      </c>
      <c r="E95" s="91" t="s">
        <v>150</v>
      </c>
      <c r="F95" s="26">
        <f t="shared" si="15"/>
        <v>3</v>
      </c>
      <c r="G95" s="26">
        <v>1992</v>
      </c>
      <c r="H95" s="92" t="s">
        <v>149</v>
      </c>
      <c r="I95" s="18" t="str">
        <f t="shared" si="10"/>
        <v>15-Feb-1991</v>
      </c>
      <c r="J95" s="18" t="str">
        <f t="shared" si="11"/>
        <v>3-Feb-1992</v>
      </c>
      <c r="K95" s="111">
        <f t="shared" si="12"/>
        <v>33284</v>
      </c>
      <c r="L95" s="111">
        <f t="shared" si="13"/>
        <v>33637</v>
      </c>
      <c r="M95">
        <f t="shared" si="7"/>
        <v>353</v>
      </c>
    </row>
    <row r="96" spans="1:13">
      <c r="A96" s="77" t="s">
        <v>158</v>
      </c>
      <c r="B96" s="90" t="s">
        <v>150</v>
      </c>
      <c r="C96" s="26">
        <v>4</v>
      </c>
      <c r="D96" s="90">
        <v>1992</v>
      </c>
      <c r="E96" s="91" t="s">
        <v>148</v>
      </c>
      <c r="F96" s="26">
        <f t="shared" si="15"/>
        <v>22</v>
      </c>
      <c r="G96" s="26">
        <v>1993</v>
      </c>
      <c r="H96" s="92" t="s">
        <v>152</v>
      </c>
      <c r="I96" s="18" t="str">
        <f t="shared" si="10"/>
        <v>4-Feb-1992</v>
      </c>
      <c r="J96" s="18" t="str">
        <f t="shared" si="11"/>
        <v>22-Ene-1993</v>
      </c>
      <c r="K96" s="111">
        <f t="shared" si="12"/>
        <v>33638</v>
      </c>
      <c r="L96" s="111">
        <f t="shared" si="13"/>
        <v>33991</v>
      </c>
      <c r="M96">
        <f t="shared" si="7"/>
        <v>353</v>
      </c>
    </row>
    <row r="97" spans="1:13">
      <c r="A97" s="77" t="s">
        <v>160</v>
      </c>
      <c r="B97" s="90" t="s">
        <v>148</v>
      </c>
      <c r="C97" s="26">
        <v>23</v>
      </c>
      <c r="D97" s="90">
        <v>1993</v>
      </c>
      <c r="E97" s="91" t="s">
        <v>150</v>
      </c>
      <c r="F97" s="26">
        <f t="shared" si="15"/>
        <v>9</v>
      </c>
      <c r="G97" s="26">
        <v>1994</v>
      </c>
      <c r="H97" s="92" t="s">
        <v>152</v>
      </c>
      <c r="I97" s="18" t="str">
        <f t="shared" si="10"/>
        <v>23-Ene-1993</v>
      </c>
      <c r="J97" s="18" t="str">
        <f t="shared" si="11"/>
        <v>9-Feb-1994</v>
      </c>
      <c r="K97" s="111">
        <f t="shared" si="12"/>
        <v>33992</v>
      </c>
      <c r="L97" s="111">
        <f t="shared" si="13"/>
        <v>34374</v>
      </c>
      <c r="M97">
        <f t="shared" si="7"/>
        <v>382</v>
      </c>
    </row>
    <row r="98" spans="1:13">
      <c r="A98" s="77" t="s">
        <v>161</v>
      </c>
      <c r="B98" s="90" t="s">
        <v>150</v>
      </c>
      <c r="C98" s="26">
        <v>10</v>
      </c>
      <c r="D98" s="90">
        <v>1994</v>
      </c>
      <c r="E98" s="91" t="s">
        <v>148</v>
      </c>
      <c r="F98" s="26">
        <f t="shared" si="15"/>
        <v>30</v>
      </c>
      <c r="G98" s="26">
        <v>1995</v>
      </c>
      <c r="H98" s="92" t="s">
        <v>154</v>
      </c>
      <c r="I98" s="18" t="str">
        <f t="shared" si="10"/>
        <v>10-Feb-1994</v>
      </c>
      <c r="J98" s="18" t="str">
        <f t="shared" si="11"/>
        <v>30-Ene-1995</v>
      </c>
      <c r="K98" s="111">
        <f t="shared" si="12"/>
        <v>34375</v>
      </c>
      <c r="L98" s="111">
        <f t="shared" si="13"/>
        <v>34729</v>
      </c>
      <c r="M98">
        <f t="shared" si="7"/>
        <v>354</v>
      </c>
    </row>
    <row r="99" spans="1:13" ht="13.5" thickBot="1">
      <c r="A99" s="82" t="s">
        <v>293</v>
      </c>
      <c r="B99" s="93" t="s">
        <v>148</v>
      </c>
      <c r="C99" s="29">
        <v>31</v>
      </c>
      <c r="D99" s="93">
        <v>1995</v>
      </c>
      <c r="E99" s="94" t="s">
        <v>150</v>
      </c>
      <c r="F99" s="29">
        <f>+C100-1</f>
        <v>18</v>
      </c>
      <c r="G99" s="29">
        <v>1996</v>
      </c>
      <c r="H99" s="95" t="s">
        <v>154</v>
      </c>
      <c r="I99" s="18" t="str">
        <f t="shared" si="10"/>
        <v>31-Ene-1995</v>
      </c>
      <c r="J99" s="18" t="str">
        <f t="shared" si="11"/>
        <v>18-Feb-1996</v>
      </c>
      <c r="K99" s="111">
        <f t="shared" si="12"/>
        <v>34730</v>
      </c>
      <c r="L99" s="111">
        <f t="shared" si="13"/>
        <v>35113</v>
      </c>
      <c r="M99">
        <f t="shared" si="7"/>
        <v>383</v>
      </c>
    </row>
    <row r="100" spans="1:13">
      <c r="A100" s="98" t="s">
        <v>147</v>
      </c>
      <c r="B100" s="99" t="s">
        <v>150</v>
      </c>
      <c r="C100" s="100">
        <v>19</v>
      </c>
      <c r="D100" s="99">
        <v>1996</v>
      </c>
      <c r="E100" s="88" t="s">
        <v>150</v>
      </c>
      <c r="F100" s="87">
        <f>+C101-1</f>
        <v>6</v>
      </c>
      <c r="G100" s="100">
        <v>1997</v>
      </c>
      <c r="H100" s="102" t="s">
        <v>157</v>
      </c>
      <c r="I100" s="18" t="str">
        <f t="shared" si="10"/>
        <v>19-Feb-1996</v>
      </c>
      <c r="J100" s="18" t="str">
        <f t="shared" si="11"/>
        <v>6-Feb-1997</v>
      </c>
      <c r="K100" s="111">
        <f t="shared" si="12"/>
        <v>35114</v>
      </c>
      <c r="L100" s="111">
        <f t="shared" si="13"/>
        <v>35467</v>
      </c>
      <c r="M100">
        <f t="shared" si="7"/>
        <v>353</v>
      </c>
    </row>
    <row r="101" spans="1:13">
      <c r="A101" s="77" t="s">
        <v>253</v>
      </c>
      <c r="B101" s="90" t="s">
        <v>150</v>
      </c>
      <c r="C101" s="26">
        <v>7</v>
      </c>
      <c r="D101" s="90">
        <v>1997</v>
      </c>
      <c r="E101" s="91" t="s">
        <v>148</v>
      </c>
      <c r="F101" s="26">
        <f>+C102-1</f>
        <v>27</v>
      </c>
      <c r="G101" s="26">
        <v>1998</v>
      </c>
      <c r="H101" s="92" t="s">
        <v>157</v>
      </c>
      <c r="I101" s="18" t="str">
        <f t="shared" si="10"/>
        <v>7-Feb-1997</v>
      </c>
      <c r="J101" s="18" t="str">
        <f t="shared" si="11"/>
        <v>27-Ene-1998</v>
      </c>
      <c r="K101" s="111">
        <f t="shared" si="12"/>
        <v>35468</v>
      </c>
      <c r="L101" s="111">
        <f t="shared" si="13"/>
        <v>35822</v>
      </c>
      <c r="M101">
        <f t="shared" si="7"/>
        <v>354</v>
      </c>
    </row>
    <row r="102" spans="1:13">
      <c r="A102" s="77" t="s">
        <v>151</v>
      </c>
      <c r="B102" s="90" t="s">
        <v>148</v>
      </c>
      <c r="C102" s="26">
        <v>28</v>
      </c>
      <c r="D102" s="90">
        <v>1998</v>
      </c>
      <c r="E102" s="91" t="s">
        <v>150</v>
      </c>
      <c r="F102" s="26">
        <f t="shared" ref="F102:F110" si="16">+C103-1</f>
        <v>15</v>
      </c>
      <c r="G102" s="26">
        <v>1999</v>
      </c>
      <c r="H102" s="92" t="s">
        <v>159</v>
      </c>
      <c r="I102" s="18" t="str">
        <f t="shared" si="10"/>
        <v>28-Ene-1998</v>
      </c>
      <c r="J102" s="18" t="str">
        <f t="shared" si="11"/>
        <v>15-Feb-1999</v>
      </c>
      <c r="K102" s="111">
        <f t="shared" si="12"/>
        <v>35823</v>
      </c>
      <c r="L102" s="111">
        <f t="shared" si="13"/>
        <v>36206</v>
      </c>
      <c r="M102">
        <f t="shared" si="7"/>
        <v>383</v>
      </c>
    </row>
    <row r="103" spans="1:13">
      <c r="A103" s="77" t="s">
        <v>153</v>
      </c>
      <c r="B103" s="90" t="s">
        <v>150</v>
      </c>
      <c r="C103" s="26">
        <v>16</v>
      </c>
      <c r="D103" s="90">
        <v>1999</v>
      </c>
      <c r="E103" s="91" t="s">
        <v>150</v>
      </c>
      <c r="F103" s="26">
        <f t="shared" si="16"/>
        <v>4</v>
      </c>
      <c r="G103" s="26">
        <v>2000</v>
      </c>
      <c r="H103" s="92" t="s">
        <v>159</v>
      </c>
      <c r="I103" s="18" t="str">
        <f t="shared" si="10"/>
        <v>16-Feb-1999</v>
      </c>
      <c r="J103" s="18" t="str">
        <f t="shared" si="11"/>
        <v>4-Feb-2000</v>
      </c>
      <c r="K103" s="111">
        <f t="shared" si="12"/>
        <v>36207</v>
      </c>
      <c r="L103" s="111">
        <f t="shared" si="13"/>
        <v>36560</v>
      </c>
      <c r="M103">
        <f t="shared" si="7"/>
        <v>353</v>
      </c>
    </row>
    <row r="104" spans="1:13">
      <c r="A104" s="77" t="s">
        <v>162</v>
      </c>
      <c r="B104" s="90" t="s">
        <v>150</v>
      </c>
      <c r="C104" s="26">
        <v>5</v>
      </c>
      <c r="D104" s="90">
        <v>2000</v>
      </c>
      <c r="E104" s="91" t="s">
        <v>148</v>
      </c>
      <c r="F104" s="26">
        <f t="shared" si="16"/>
        <v>23</v>
      </c>
      <c r="G104" s="26">
        <v>2001</v>
      </c>
      <c r="H104" s="92" t="s">
        <v>149</v>
      </c>
      <c r="I104" s="18" t="str">
        <f t="shared" si="10"/>
        <v>5-Feb-2000</v>
      </c>
      <c r="J104" s="18" t="str">
        <f t="shared" si="11"/>
        <v>23-Ene-2001</v>
      </c>
      <c r="K104" s="111">
        <f t="shared" si="12"/>
        <v>36561</v>
      </c>
      <c r="L104" s="111">
        <f t="shared" si="13"/>
        <v>36914</v>
      </c>
      <c r="M104">
        <f t="shared" si="7"/>
        <v>353</v>
      </c>
    </row>
    <row r="105" spans="1:13">
      <c r="A105" s="77" t="s">
        <v>155</v>
      </c>
      <c r="B105" s="90" t="s">
        <v>148</v>
      </c>
      <c r="C105" s="26">
        <v>24</v>
      </c>
      <c r="D105" s="90">
        <v>2001</v>
      </c>
      <c r="E105" s="91" t="s">
        <v>150</v>
      </c>
      <c r="F105" s="26">
        <f t="shared" si="16"/>
        <v>11</v>
      </c>
      <c r="G105" s="26">
        <v>2002</v>
      </c>
      <c r="H105" s="92" t="s">
        <v>149</v>
      </c>
      <c r="I105" s="18" t="str">
        <f t="shared" si="10"/>
        <v>24-Ene-2001</v>
      </c>
      <c r="J105" s="18" t="str">
        <f t="shared" si="11"/>
        <v>11-Feb-2002</v>
      </c>
      <c r="K105" s="111">
        <f t="shared" si="12"/>
        <v>36915</v>
      </c>
      <c r="L105" s="111">
        <f t="shared" si="13"/>
        <v>37298</v>
      </c>
      <c r="M105">
        <f t="shared" ref="M105:M123" si="17">+J105-I105</f>
        <v>383</v>
      </c>
    </row>
    <row r="106" spans="1:13">
      <c r="A106" s="77" t="s">
        <v>156</v>
      </c>
      <c r="B106" s="90" t="s">
        <v>150</v>
      </c>
      <c r="C106" s="26">
        <v>12</v>
      </c>
      <c r="D106" s="90">
        <v>2002</v>
      </c>
      <c r="E106" s="91" t="s">
        <v>148</v>
      </c>
      <c r="F106" s="26">
        <v>31</v>
      </c>
      <c r="G106" s="26">
        <v>2003</v>
      </c>
      <c r="H106" s="92" t="s">
        <v>152</v>
      </c>
      <c r="I106" s="18" t="str">
        <f t="shared" si="10"/>
        <v>12-Feb-2002</v>
      </c>
      <c r="J106" s="18" t="str">
        <f t="shared" si="11"/>
        <v>31-Ene-2003</v>
      </c>
      <c r="K106" s="111">
        <f t="shared" si="12"/>
        <v>37299</v>
      </c>
      <c r="L106" s="111">
        <f t="shared" si="13"/>
        <v>37652</v>
      </c>
      <c r="M106">
        <f t="shared" si="17"/>
        <v>353</v>
      </c>
    </row>
    <row r="107" spans="1:13">
      <c r="A107" s="77" t="s">
        <v>254</v>
      </c>
      <c r="B107" s="90" t="s">
        <v>150</v>
      </c>
      <c r="C107" s="26">
        <v>1</v>
      </c>
      <c r="D107" s="90">
        <v>2003</v>
      </c>
      <c r="E107" s="91" t="s">
        <v>148</v>
      </c>
      <c r="F107" s="26">
        <f t="shared" si="16"/>
        <v>21</v>
      </c>
      <c r="G107" s="26">
        <v>2004</v>
      </c>
      <c r="H107" s="92" t="s">
        <v>152</v>
      </c>
      <c r="I107" s="18" t="str">
        <f t="shared" si="10"/>
        <v>1-Feb-2003</v>
      </c>
      <c r="J107" s="18" t="str">
        <f t="shared" si="11"/>
        <v>21-Ene-2004</v>
      </c>
      <c r="K107" s="111">
        <f t="shared" si="12"/>
        <v>37653</v>
      </c>
      <c r="L107" s="111">
        <f t="shared" si="13"/>
        <v>38007</v>
      </c>
      <c r="M107">
        <f t="shared" si="17"/>
        <v>354</v>
      </c>
    </row>
    <row r="108" spans="1:13">
      <c r="A108" s="77" t="s">
        <v>158</v>
      </c>
      <c r="B108" s="90" t="s">
        <v>148</v>
      </c>
      <c r="C108" s="26">
        <v>22</v>
      </c>
      <c r="D108" s="90">
        <v>2004</v>
      </c>
      <c r="E108" s="91" t="s">
        <v>150</v>
      </c>
      <c r="F108" s="26">
        <f t="shared" si="16"/>
        <v>8</v>
      </c>
      <c r="G108" s="26">
        <v>2005</v>
      </c>
      <c r="H108" s="92" t="s">
        <v>154</v>
      </c>
      <c r="I108" s="18" t="str">
        <f t="shared" si="10"/>
        <v>22-Ene-2004</v>
      </c>
      <c r="J108" s="18" t="str">
        <f t="shared" si="11"/>
        <v>8-Feb-2005</v>
      </c>
      <c r="K108" s="111">
        <f t="shared" si="12"/>
        <v>38008</v>
      </c>
      <c r="L108" s="111">
        <f t="shared" si="13"/>
        <v>38391</v>
      </c>
      <c r="M108">
        <f t="shared" si="17"/>
        <v>383</v>
      </c>
    </row>
    <row r="109" spans="1:13">
      <c r="A109" s="77" t="s">
        <v>160</v>
      </c>
      <c r="B109" s="90" t="s">
        <v>150</v>
      </c>
      <c r="C109" s="26">
        <v>9</v>
      </c>
      <c r="D109" s="90">
        <v>2005</v>
      </c>
      <c r="E109" s="91" t="s">
        <v>148</v>
      </c>
      <c r="F109" s="26">
        <f t="shared" si="16"/>
        <v>28</v>
      </c>
      <c r="G109" s="26">
        <v>2006</v>
      </c>
      <c r="H109" s="92" t="s">
        <v>154</v>
      </c>
      <c r="I109" s="18" t="str">
        <f t="shared" si="10"/>
        <v>9-Feb-2005</v>
      </c>
      <c r="J109" s="18" t="str">
        <f t="shared" si="11"/>
        <v>28-Ene-2006</v>
      </c>
      <c r="K109" s="111">
        <f t="shared" si="12"/>
        <v>38392</v>
      </c>
      <c r="L109" s="111">
        <f t="shared" si="13"/>
        <v>38745</v>
      </c>
      <c r="M109">
        <f t="shared" si="17"/>
        <v>353</v>
      </c>
    </row>
    <row r="110" spans="1:13">
      <c r="A110" s="77" t="s">
        <v>161</v>
      </c>
      <c r="B110" s="90" t="s">
        <v>148</v>
      </c>
      <c r="C110" s="26">
        <v>29</v>
      </c>
      <c r="D110" s="90">
        <v>2006</v>
      </c>
      <c r="E110" s="91" t="s">
        <v>150</v>
      </c>
      <c r="F110" s="26">
        <f t="shared" si="16"/>
        <v>17</v>
      </c>
      <c r="G110" s="26">
        <v>2007</v>
      </c>
      <c r="H110" s="92" t="s">
        <v>157</v>
      </c>
      <c r="I110" s="18" t="str">
        <f t="shared" si="10"/>
        <v>29-Ene-2006</v>
      </c>
      <c r="J110" s="18" t="str">
        <f t="shared" si="11"/>
        <v>17-Feb-2007</v>
      </c>
      <c r="K110" s="111">
        <f t="shared" si="12"/>
        <v>38746</v>
      </c>
      <c r="L110" s="111">
        <f t="shared" si="13"/>
        <v>39130</v>
      </c>
      <c r="M110">
        <f t="shared" si="17"/>
        <v>384</v>
      </c>
    </row>
    <row r="111" spans="1:13" ht="13.5" thickBot="1">
      <c r="A111" s="82" t="s">
        <v>293</v>
      </c>
      <c r="B111" s="93" t="s">
        <v>150</v>
      </c>
      <c r="C111" s="29">
        <v>18</v>
      </c>
      <c r="D111" s="93">
        <v>2007</v>
      </c>
      <c r="E111" s="94" t="s">
        <v>150</v>
      </c>
      <c r="F111" s="29">
        <v>6</v>
      </c>
      <c r="G111" s="29">
        <v>2008</v>
      </c>
      <c r="H111" s="95" t="s">
        <v>157</v>
      </c>
      <c r="I111" s="18" t="str">
        <f t="shared" si="10"/>
        <v>18-Feb-2007</v>
      </c>
      <c r="J111" s="18" t="str">
        <f t="shared" si="11"/>
        <v>6-Feb-2008</v>
      </c>
      <c r="K111" s="111">
        <f t="shared" si="12"/>
        <v>39131</v>
      </c>
      <c r="L111" s="111">
        <f t="shared" si="13"/>
        <v>39484</v>
      </c>
      <c r="M111">
        <f t="shared" si="17"/>
        <v>353</v>
      </c>
    </row>
    <row r="112" spans="1:13">
      <c r="A112" s="175" t="s">
        <v>147</v>
      </c>
      <c r="B112" s="176" t="s">
        <v>150</v>
      </c>
      <c r="C112" s="177">
        <v>7</v>
      </c>
      <c r="D112" s="176">
        <f>+D100+12</f>
        <v>2008</v>
      </c>
      <c r="E112" s="178" t="s">
        <v>148</v>
      </c>
      <c r="F112" s="179">
        <v>25</v>
      </c>
      <c r="G112" s="177">
        <f t="shared" ref="G112:G123" si="18">+G100+12</f>
        <v>2009</v>
      </c>
      <c r="H112" s="180" t="s">
        <v>159</v>
      </c>
      <c r="I112" s="18" t="str">
        <f t="shared" ref="I112:I123" si="19">CONCATENATE(TEXT(C112,"##"),"-", MID(B112,1,3),"-",TEXT(D112,"###0"))</f>
        <v>7-Feb-2008</v>
      </c>
      <c r="J112" s="18" t="str">
        <f t="shared" ref="J112:J123" si="20">CONCATENATE(TEXT(F112,"##"),"-", MID(E112,1,3),"-",TEXT(G112,"###0"))</f>
        <v>25-Ene-2009</v>
      </c>
      <c r="K112" s="111">
        <f t="shared" ref="K112:K123" si="21">DATE(D112,MONTH(I112),C112)</f>
        <v>39485</v>
      </c>
      <c r="L112" s="111">
        <f t="shared" ref="L112:L123" si="22">DATE(G112,MONTH(J112),F112)</f>
        <v>39838</v>
      </c>
      <c r="M112">
        <f t="shared" si="17"/>
        <v>353</v>
      </c>
    </row>
    <row r="113" spans="1:13">
      <c r="A113" s="181" t="s">
        <v>253</v>
      </c>
      <c r="B113" s="182" t="s">
        <v>148</v>
      </c>
      <c r="C113" s="183">
        <f>+F112+1</f>
        <v>26</v>
      </c>
      <c r="D113" s="182">
        <f t="shared" ref="D113:D123" si="23">+D101+12</f>
        <v>2009</v>
      </c>
      <c r="E113" s="184" t="s">
        <v>150</v>
      </c>
      <c r="F113" s="183">
        <v>13</v>
      </c>
      <c r="G113" s="183">
        <f t="shared" si="18"/>
        <v>2010</v>
      </c>
      <c r="H113" s="185" t="s">
        <v>159</v>
      </c>
      <c r="I113" s="18" t="str">
        <f t="shared" si="19"/>
        <v>26-Ene-2009</v>
      </c>
      <c r="J113" s="18" t="str">
        <f t="shared" si="20"/>
        <v>13-Feb-2010</v>
      </c>
      <c r="K113" s="111">
        <f t="shared" si="21"/>
        <v>39839</v>
      </c>
      <c r="L113" s="111">
        <f t="shared" si="22"/>
        <v>40222</v>
      </c>
      <c r="M113">
        <f t="shared" si="17"/>
        <v>383</v>
      </c>
    </row>
    <row r="114" spans="1:13">
      <c r="A114" s="181" t="s">
        <v>151</v>
      </c>
      <c r="B114" s="182" t="s">
        <v>150</v>
      </c>
      <c r="C114" s="183">
        <f t="shared" ref="C114:C121" si="24">+F113+1</f>
        <v>14</v>
      </c>
      <c r="D114" s="182">
        <f t="shared" si="23"/>
        <v>2010</v>
      </c>
      <c r="E114" s="184" t="s">
        <v>150</v>
      </c>
      <c r="F114" s="183">
        <v>2</v>
      </c>
      <c r="G114" s="183">
        <f t="shared" si="18"/>
        <v>2011</v>
      </c>
      <c r="H114" s="185" t="s">
        <v>149</v>
      </c>
      <c r="I114" s="18" t="str">
        <f t="shared" si="19"/>
        <v>14-Feb-2010</v>
      </c>
      <c r="J114" s="18" t="str">
        <f t="shared" si="20"/>
        <v>2-Feb-2011</v>
      </c>
      <c r="K114" s="111">
        <f t="shared" si="21"/>
        <v>40223</v>
      </c>
      <c r="L114" s="111">
        <f t="shared" si="22"/>
        <v>40576</v>
      </c>
      <c r="M114">
        <f t="shared" si="17"/>
        <v>353</v>
      </c>
    </row>
    <row r="115" spans="1:13">
      <c r="A115" s="181" t="s">
        <v>153</v>
      </c>
      <c r="B115" s="182" t="s">
        <v>150</v>
      </c>
      <c r="C115" s="183">
        <f t="shared" si="24"/>
        <v>3</v>
      </c>
      <c r="D115" s="182">
        <f t="shared" si="23"/>
        <v>2011</v>
      </c>
      <c r="E115" s="184" t="s">
        <v>148</v>
      </c>
      <c r="F115" s="183">
        <v>22</v>
      </c>
      <c r="G115" s="183">
        <f t="shared" si="18"/>
        <v>2012</v>
      </c>
      <c r="H115" s="185" t="s">
        <v>149</v>
      </c>
      <c r="I115" s="18" t="str">
        <f t="shared" si="19"/>
        <v>3-Feb-2011</v>
      </c>
      <c r="J115" s="18" t="str">
        <f t="shared" si="20"/>
        <v>22-Ene-2012</v>
      </c>
      <c r="K115" s="111">
        <f t="shared" si="21"/>
        <v>40577</v>
      </c>
      <c r="L115" s="111">
        <f t="shared" si="22"/>
        <v>40930</v>
      </c>
      <c r="M115">
        <f t="shared" si="17"/>
        <v>353</v>
      </c>
    </row>
    <row r="116" spans="1:13">
      <c r="A116" s="181" t="s">
        <v>162</v>
      </c>
      <c r="B116" s="182" t="s">
        <v>148</v>
      </c>
      <c r="C116" s="183">
        <f t="shared" si="24"/>
        <v>23</v>
      </c>
      <c r="D116" s="182">
        <f t="shared" si="23"/>
        <v>2012</v>
      </c>
      <c r="E116" s="184" t="s">
        <v>150</v>
      </c>
      <c r="F116" s="183">
        <v>9</v>
      </c>
      <c r="G116" s="183">
        <f t="shared" si="18"/>
        <v>2013</v>
      </c>
      <c r="H116" s="185" t="s">
        <v>152</v>
      </c>
      <c r="I116" s="18" t="str">
        <f t="shared" si="19"/>
        <v>23-Ene-2012</v>
      </c>
      <c r="J116" s="18" t="str">
        <f t="shared" si="20"/>
        <v>9-Feb-2013</v>
      </c>
      <c r="K116" s="111">
        <f t="shared" si="21"/>
        <v>40931</v>
      </c>
      <c r="L116" s="111">
        <f t="shared" si="22"/>
        <v>41314</v>
      </c>
      <c r="M116">
        <f t="shared" si="17"/>
        <v>383</v>
      </c>
    </row>
    <row r="117" spans="1:13">
      <c r="A117" s="181" t="s">
        <v>155</v>
      </c>
      <c r="B117" s="182" t="s">
        <v>150</v>
      </c>
      <c r="C117" s="183">
        <f t="shared" si="24"/>
        <v>10</v>
      </c>
      <c r="D117" s="182">
        <f t="shared" si="23"/>
        <v>2013</v>
      </c>
      <c r="E117" s="184" t="s">
        <v>148</v>
      </c>
      <c r="F117" s="183">
        <v>30</v>
      </c>
      <c r="G117" s="183">
        <f t="shared" si="18"/>
        <v>2014</v>
      </c>
      <c r="H117" s="185" t="s">
        <v>152</v>
      </c>
      <c r="I117" s="18" t="str">
        <f t="shared" si="19"/>
        <v>10-Feb-2013</v>
      </c>
      <c r="J117" s="18" t="str">
        <f t="shared" si="20"/>
        <v>30-Ene-2014</v>
      </c>
      <c r="K117" s="111">
        <f t="shared" si="21"/>
        <v>41315</v>
      </c>
      <c r="L117" s="111">
        <f t="shared" si="22"/>
        <v>41669</v>
      </c>
      <c r="M117">
        <f t="shared" si="17"/>
        <v>354</v>
      </c>
    </row>
    <row r="118" spans="1:13">
      <c r="A118" s="181" t="s">
        <v>156</v>
      </c>
      <c r="B118" s="182" t="s">
        <v>148</v>
      </c>
      <c r="C118" s="183">
        <f t="shared" si="24"/>
        <v>31</v>
      </c>
      <c r="D118" s="182">
        <f t="shared" si="23"/>
        <v>2014</v>
      </c>
      <c r="E118" s="184" t="s">
        <v>150</v>
      </c>
      <c r="F118" s="183">
        <v>18</v>
      </c>
      <c r="G118" s="183">
        <f t="shared" si="18"/>
        <v>2015</v>
      </c>
      <c r="H118" s="185" t="s">
        <v>154</v>
      </c>
      <c r="I118" s="18" t="str">
        <f t="shared" si="19"/>
        <v>31-Ene-2014</v>
      </c>
      <c r="J118" s="18" t="str">
        <f t="shared" si="20"/>
        <v>18-Feb-2015</v>
      </c>
      <c r="K118" s="111">
        <f t="shared" si="21"/>
        <v>41670</v>
      </c>
      <c r="L118" s="111">
        <f t="shared" si="22"/>
        <v>42053</v>
      </c>
      <c r="M118">
        <f t="shared" si="17"/>
        <v>383</v>
      </c>
    </row>
    <row r="119" spans="1:13">
      <c r="A119" s="181" t="s">
        <v>254</v>
      </c>
      <c r="B119" s="182" t="s">
        <v>150</v>
      </c>
      <c r="C119" s="183">
        <f t="shared" si="24"/>
        <v>19</v>
      </c>
      <c r="D119" s="182">
        <f t="shared" si="23"/>
        <v>2015</v>
      </c>
      <c r="E119" s="184" t="s">
        <v>150</v>
      </c>
      <c r="F119" s="183">
        <v>7</v>
      </c>
      <c r="G119" s="183">
        <f t="shared" si="18"/>
        <v>2016</v>
      </c>
      <c r="H119" s="185" t="s">
        <v>154</v>
      </c>
      <c r="I119" s="18" t="str">
        <f t="shared" si="19"/>
        <v>19-Feb-2015</v>
      </c>
      <c r="J119" s="18" t="str">
        <f t="shared" si="20"/>
        <v>7-Feb-2016</v>
      </c>
      <c r="K119" s="111">
        <f t="shared" si="21"/>
        <v>42054</v>
      </c>
      <c r="L119" s="111">
        <f t="shared" si="22"/>
        <v>42407</v>
      </c>
      <c r="M119">
        <f t="shared" si="17"/>
        <v>353</v>
      </c>
    </row>
    <row r="120" spans="1:13">
      <c r="A120" s="181" t="s">
        <v>158</v>
      </c>
      <c r="B120" s="182" t="s">
        <v>150</v>
      </c>
      <c r="C120" s="183">
        <f t="shared" si="24"/>
        <v>8</v>
      </c>
      <c r="D120" s="182">
        <f t="shared" si="23"/>
        <v>2016</v>
      </c>
      <c r="E120" s="184" t="s">
        <v>148</v>
      </c>
      <c r="F120" s="183">
        <v>27</v>
      </c>
      <c r="G120" s="183">
        <f t="shared" si="18"/>
        <v>2017</v>
      </c>
      <c r="H120" s="185" t="s">
        <v>157</v>
      </c>
      <c r="I120" s="18" t="str">
        <f t="shared" si="19"/>
        <v>8-Feb-2016</v>
      </c>
      <c r="J120" s="18" t="str">
        <f t="shared" si="20"/>
        <v>27-Ene-2017</v>
      </c>
      <c r="K120" s="111">
        <f t="shared" si="21"/>
        <v>42408</v>
      </c>
      <c r="L120" s="111">
        <f t="shared" si="22"/>
        <v>42762</v>
      </c>
      <c r="M120">
        <f t="shared" si="17"/>
        <v>354</v>
      </c>
    </row>
    <row r="121" spans="1:13">
      <c r="A121" s="181" t="s">
        <v>160</v>
      </c>
      <c r="B121" s="182" t="s">
        <v>148</v>
      </c>
      <c r="C121" s="183">
        <f t="shared" si="24"/>
        <v>28</v>
      </c>
      <c r="D121" s="182">
        <f t="shared" si="23"/>
        <v>2017</v>
      </c>
      <c r="E121" s="184" t="s">
        <v>150</v>
      </c>
      <c r="F121" s="183">
        <v>15</v>
      </c>
      <c r="G121" s="183">
        <f t="shared" si="18"/>
        <v>2018</v>
      </c>
      <c r="H121" s="185" t="s">
        <v>157</v>
      </c>
      <c r="I121" s="18" t="str">
        <f t="shared" si="19"/>
        <v>28-Ene-2017</v>
      </c>
      <c r="J121" s="18" t="str">
        <f t="shared" si="20"/>
        <v>15-Feb-2018</v>
      </c>
      <c r="K121" s="111">
        <f t="shared" si="21"/>
        <v>42763</v>
      </c>
      <c r="L121" s="111">
        <f t="shared" si="22"/>
        <v>43146</v>
      </c>
      <c r="M121">
        <f t="shared" si="17"/>
        <v>383</v>
      </c>
    </row>
    <row r="122" spans="1:13">
      <c r="A122" s="181" t="s">
        <v>161</v>
      </c>
      <c r="B122" s="182" t="s">
        <v>150</v>
      </c>
      <c r="C122" s="183">
        <f>+F121+1</f>
        <v>16</v>
      </c>
      <c r="D122" s="182">
        <f t="shared" si="23"/>
        <v>2018</v>
      </c>
      <c r="E122" s="184" t="s">
        <v>150</v>
      </c>
      <c r="F122" s="183">
        <v>4</v>
      </c>
      <c r="G122" s="183">
        <f t="shared" si="18"/>
        <v>2019</v>
      </c>
      <c r="H122" s="185" t="s">
        <v>159</v>
      </c>
      <c r="I122" s="18" t="str">
        <f t="shared" si="19"/>
        <v>16-Feb-2018</v>
      </c>
      <c r="J122" s="18" t="str">
        <f t="shared" si="20"/>
        <v>4-Feb-2019</v>
      </c>
      <c r="K122" s="111">
        <f t="shared" si="21"/>
        <v>43147</v>
      </c>
      <c r="L122" s="111">
        <f t="shared" si="22"/>
        <v>43500</v>
      </c>
      <c r="M122">
        <f t="shared" si="17"/>
        <v>353</v>
      </c>
    </row>
    <row r="123" spans="1:13" ht="13.5" thickBot="1">
      <c r="A123" s="186" t="s">
        <v>293</v>
      </c>
      <c r="B123" s="187" t="s">
        <v>150</v>
      </c>
      <c r="C123" s="188">
        <f>+F122+1</f>
        <v>5</v>
      </c>
      <c r="D123" s="187">
        <f t="shared" si="23"/>
        <v>2019</v>
      </c>
      <c r="E123" s="189" t="s">
        <v>148</v>
      </c>
      <c r="F123" s="188">
        <v>24</v>
      </c>
      <c r="G123" s="188">
        <f t="shared" si="18"/>
        <v>2020</v>
      </c>
      <c r="H123" s="190" t="s">
        <v>159</v>
      </c>
      <c r="I123" s="18" t="str">
        <f t="shared" si="19"/>
        <v>5-Feb-2019</v>
      </c>
      <c r="J123" s="18" t="str">
        <f t="shared" si="20"/>
        <v>24-Ene-2020</v>
      </c>
      <c r="K123" s="111">
        <f t="shared" si="21"/>
        <v>43501</v>
      </c>
      <c r="L123" s="111">
        <f t="shared" si="22"/>
        <v>43854</v>
      </c>
      <c r="M123">
        <f t="shared" si="17"/>
        <v>353</v>
      </c>
    </row>
    <row r="124" spans="1:13">
      <c r="A124" s="175" t="s">
        <v>147</v>
      </c>
      <c r="B124" s="176" t="s">
        <v>148</v>
      </c>
      <c r="C124" s="177">
        <v>25</v>
      </c>
      <c r="D124" s="176">
        <v>2020</v>
      </c>
      <c r="E124" s="178" t="s">
        <v>148</v>
      </c>
      <c r="F124" s="179">
        <v>13</v>
      </c>
      <c r="G124" s="177">
        <v>2021</v>
      </c>
      <c r="H124" s="180" t="s">
        <v>149</v>
      </c>
      <c r="I124" s="18" t="str">
        <f t="shared" ref="I124:I135" si="25">CONCATENATE(TEXT(C124,"##"),"-", MID(B124,1,3),"-",TEXT(D124,"###0"))</f>
        <v>25-Ene-2020</v>
      </c>
      <c r="J124" s="18" t="str">
        <f t="shared" ref="J124:J135" si="26">CONCATENATE(TEXT(F124,"##"),"-", MID(E124,1,3),"-",TEXT(G124,"###0"))</f>
        <v>13-Ene-2021</v>
      </c>
      <c r="K124" s="111">
        <f t="shared" ref="K124:K135" si="27">DATE(D124,MONTH(I124),C124)</f>
        <v>43855</v>
      </c>
      <c r="L124" s="111">
        <f t="shared" ref="L124:L135" si="28">DATE(G124,MONTH(J124),F124)</f>
        <v>44209</v>
      </c>
      <c r="M124">
        <f t="shared" ref="M124:M135" si="29">+J124-I124</f>
        <v>354</v>
      </c>
    </row>
    <row r="125" spans="1:13">
      <c r="A125" s="181" t="s">
        <v>253</v>
      </c>
      <c r="B125" s="182" t="s">
        <v>148</v>
      </c>
      <c r="C125" s="183">
        <v>14</v>
      </c>
      <c r="D125" s="182">
        <v>2021</v>
      </c>
      <c r="E125" s="184" t="s">
        <v>150</v>
      </c>
      <c r="F125" s="183">
        <v>1</v>
      </c>
      <c r="G125" s="183">
        <v>2022</v>
      </c>
      <c r="H125" s="185" t="s">
        <v>149</v>
      </c>
      <c r="I125" s="18" t="str">
        <f t="shared" si="25"/>
        <v>14-Ene-2021</v>
      </c>
      <c r="J125" s="18" t="str">
        <f t="shared" si="26"/>
        <v>1-Feb-2022</v>
      </c>
      <c r="K125" s="111">
        <f t="shared" si="27"/>
        <v>44210</v>
      </c>
      <c r="L125" s="111">
        <f t="shared" si="28"/>
        <v>44593</v>
      </c>
      <c r="M125">
        <f t="shared" si="29"/>
        <v>383</v>
      </c>
    </row>
    <row r="126" spans="1:13">
      <c r="A126" s="181" t="s">
        <v>151</v>
      </c>
      <c r="B126" s="182" t="s">
        <v>150</v>
      </c>
      <c r="C126" s="183">
        <v>2</v>
      </c>
      <c r="D126" s="182">
        <v>2022</v>
      </c>
      <c r="E126" s="184" t="s">
        <v>148</v>
      </c>
      <c r="F126" s="183">
        <v>21</v>
      </c>
      <c r="G126" s="183">
        <v>2023</v>
      </c>
      <c r="H126" s="185" t="s">
        <v>152</v>
      </c>
      <c r="I126" s="18" t="str">
        <f t="shared" si="25"/>
        <v>2-Feb-2022</v>
      </c>
      <c r="J126" s="18" t="str">
        <f t="shared" si="26"/>
        <v>21-Ene-2023</v>
      </c>
      <c r="K126" s="111">
        <f t="shared" si="27"/>
        <v>44594</v>
      </c>
      <c r="L126" s="111">
        <f t="shared" si="28"/>
        <v>44947</v>
      </c>
      <c r="M126">
        <f t="shared" si="29"/>
        <v>353</v>
      </c>
    </row>
    <row r="127" spans="1:13">
      <c r="A127" s="181" t="s">
        <v>153</v>
      </c>
      <c r="B127" s="182" t="s">
        <v>148</v>
      </c>
      <c r="C127" s="183">
        <v>22</v>
      </c>
      <c r="D127" s="182">
        <v>2023</v>
      </c>
      <c r="E127" s="184" t="s">
        <v>150</v>
      </c>
      <c r="F127" s="183">
        <v>9</v>
      </c>
      <c r="G127" s="183">
        <v>2024</v>
      </c>
      <c r="H127" s="185" t="s">
        <v>152</v>
      </c>
      <c r="I127" s="18" t="str">
        <f t="shared" si="25"/>
        <v>22-Ene-2023</v>
      </c>
      <c r="J127" s="18" t="str">
        <f t="shared" si="26"/>
        <v>9-Feb-2024</v>
      </c>
      <c r="K127" s="111">
        <f t="shared" si="27"/>
        <v>44948</v>
      </c>
      <c r="L127" s="111">
        <f t="shared" si="28"/>
        <v>45331</v>
      </c>
      <c r="M127">
        <f t="shared" si="29"/>
        <v>383</v>
      </c>
    </row>
    <row r="128" spans="1:13">
      <c r="A128" s="181" t="s">
        <v>162</v>
      </c>
      <c r="B128" s="182" t="s">
        <v>150</v>
      </c>
      <c r="C128" s="183">
        <v>10</v>
      </c>
      <c r="D128" s="182">
        <v>2024</v>
      </c>
      <c r="E128" s="184" t="s">
        <v>148</v>
      </c>
      <c r="F128" s="183">
        <v>29</v>
      </c>
      <c r="G128" s="183">
        <v>2025</v>
      </c>
      <c r="H128" s="185" t="s">
        <v>154</v>
      </c>
      <c r="I128" s="18" t="str">
        <f t="shared" si="25"/>
        <v>10-Feb-2024</v>
      </c>
      <c r="J128" s="18" t="str">
        <f t="shared" si="26"/>
        <v>29-Ene-2025</v>
      </c>
      <c r="K128" s="111">
        <f t="shared" si="27"/>
        <v>45332</v>
      </c>
      <c r="L128" s="111">
        <f t="shared" si="28"/>
        <v>45686</v>
      </c>
      <c r="M128">
        <f t="shared" si="29"/>
        <v>354</v>
      </c>
    </row>
    <row r="129" spans="1:13">
      <c r="A129" s="181" t="s">
        <v>155</v>
      </c>
      <c r="B129" s="182" t="s">
        <v>148</v>
      </c>
      <c r="C129" s="183">
        <v>30</v>
      </c>
      <c r="D129" s="182">
        <v>2025</v>
      </c>
      <c r="E129" s="184" t="s">
        <v>150</v>
      </c>
      <c r="F129" s="183">
        <v>17</v>
      </c>
      <c r="G129" s="183">
        <v>2026</v>
      </c>
      <c r="H129" s="185" t="s">
        <v>154</v>
      </c>
      <c r="I129" s="18" t="str">
        <f t="shared" si="25"/>
        <v>30-Ene-2025</v>
      </c>
      <c r="J129" s="18" t="str">
        <f t="shared" si="26"/>
        <v>17-Feb-2026</v>
      </c>
      <c r="K129" s="111">
        <f t="shared" si="27"/>
        <v>45687</v>
      </c>
      <c r="L129" s="111">
        <f t="shared" si="28"/>
        <v>46070</v>
      </c>
      <c r="M129">
        <f t="shared" si="29"/>
        <v>383</v>
      </c>
    </row>
    <row r="130" spans="1:13">
      <c r="A130" s="181" t="s">
        <v>156</v>
      </c>
      <c r="B130" s="182" t="s">
        <v>150</v>
      </c>
      <c r="C130" s="183">
        <v>18</v>
      </c>
      <c r="D130" s="182">
        <v>2026</v>
      </c>
      <c r="E130" s="184" t="s">
        <v>150</v>
      </c>
      <c r="F130" s="183">
        <v>6</v>
      </c>
      <c r="G130" s="183">
        <v>2027</v>
      </c>
      <c r="H130" s="185" t="s">
        <v>157</v>
      </c>
      <c r="I130" s="18" t="str">
        <f t="shared" si="25"/>
        <v>18-Feb-2026</v>
      </c>
      <c r="J130" s="18" t="str">
        <f t="shared" si="26"/>
        <v>6-Feb-2027</v>
      </c>
      <c r="K130" s="111">
        <f t="shared" si="27"/>
        <v>46071</v>
      </c>
      <c r="L130" s="111">
        <f t="shared" si="28"/>
        <v>46424</v>
      </c>
      <c r="M130">
        <f t="shared" si="29"/>
        <v>353</v>
      </c>
    </row>
    <row r="131" spans="1:13">
      <c r="A131" s="181" t="s">
        <v>254</v>
      </c>
      <c r="B131" s="182" t="s">
        <v>150</v>
      </c>
      <c r="C131" s="183">
        <v>7</v>
      </c>
      <c r="D131" s="182">
        <v>2027</v>
      </c>
      <c r="E131" s="184" t="s">
        <v>148</v>
      </c>
      <c r="F131" s="183">
        <v>26</v>
      </c>
      <c r="G131" s="183">
        <v>2028</v>
      </c>
      <c r="H131" s="185" t="s">
        <v>157</v>
      </c>
      <c r="I131" s="18" t="str">
        <f t="shared" si="25"/>
        <v>7-Feb-2027</v>
      </c>
      <c r="J131" s="18" t="str">
        <f t="shared" si="26"/>
        <v>26-Ene-2028</v>
      </c>
      <c r="K131" s="111">
        <f t="shared" si="27"/>
        <v>46425</v>
      </c>
      <c r="L131" s="111">
        <f t="shared" si="28"/>
        <v>46778</v>
      </c>
      <c r="M131">
        <f t="shared" si="29"/>
        <v>353</v>
      </c>
    </row>
    <row r="132" spans="1:13">
      <c r="A132" s="181" t="s">
        <v>158</v>
      </c>
      <c r="B132" s="182" t="s">
        <v>148</v>
      </c>
      <c r="C132" s="183">
        <v>27</v>
      </c>
      <c r="D132" s="182">
        <v>2028</v>
      </c>
      <c r="E132" s="184" t="s">
        <v>150</v>
      </c>
      <c r="F132" s="183">
        <v>13</v>
      </c>
      <c r="G132" s="183">
        <v>2029</v>
      </c>
      <c r="H132" s="185" t="s">
        <v>159</v>
      </c>
      <c r="I132" s="18" t="str">
        <f t="shared" si="25"/>
        <v>27-Ene-2028</v>
      </c>
      <c r="J132" s="18" t="str">
        <f t="shared" si="26"/>
        <v>13-Feb-2029</v>
      </c>
      <c r="K132" s="111">
        <f t="shared" si="27"/>
        <v>46779</v>
      </c>
      <c r="L132" s="111">
        <f t="shared" si="28"/>
        <v>47162</v>
      </c>
      <c r="M132">
        <f t="shared" si="29"/>
        <v>383</v>
      </c>
    </row>
    <row r="133" spans="1:13">
      <c r="A133" s="181" t="s">
        <v>160</v>
      </c>
      <c r="B133" s="182" t="s">
        <v>150</v>
      </c>
      <c r="C133" s="183">
        <v>14</v>
      </c>
      <c r="D133" s="182">
        <v>2029</v>
      </c>
      <c r="E133" s="184" t="s">
        <v>148</v>
      </c>
      <c r="F133" s="183">
        <v>4</v>
      </c>
      <c r="G133" s="183">
        <v>2030</v>
      </c>
      <c r="H133" s="185" t="s">
        <v>159</v>
      </c>
      <c r="I133" s="18" t="str">
        <f t="shared" si="25"/>
        <v>14-Feb-2029</v>
      </c>
      <c r="J133" s="18" t="str">
        <f t="shared" si="26"/>
        <v>4-Ene-2030</v>
      </c>
      <c r="K133" s="111">
        <f t="shared" si="27"/>
        <v>47163</v>
      </c>
      <c r="L133" s="111">
        <f t="shared" si="28"/>
        <v>47487</v>
      </c>
      <c r="M133">
        <f t="shared" si="29"/>
        <v>324</v>
      </c>
    </row>
    <row r="134" spans="1:13">
      <c r="A134" s="181" t="s">
        <v>161</v>
      </c>
      <c r="B134" s="182" t="s">
        <v>148</v>
      </c>
      <c r="C134" s="183">
        <v>5</v>
      </c>
      <c r="D134" s="182">
        <v>2030</v>
      </c>
      <c r="E134" s="184" t="s">
        <v>150</v>
      </c>
      <c r="F134" s="183">
        <v>23</v>
      </c>
      <c r="G134" s="183">
        <v>2031</v>
      </c>
      <c r="H134" s="185" t="s">
        <v>149</v>
      </c>
      <c r="I134" s="18" t="str">
        <f t="shared" si="25"/>
        <v>5-Ene-2030</v>
      </c>
      <c r="J134" s="18" t="str">
        <f t="shared" si="26"/>
        <v>23-Feb-2031</v>
      </c>
      <c r="K134" s="111">
        <f t="shared" si="27"/>
        <v>47488</v>
      </c>
      <c r="L134" s="111">
        <f t="shared" si="28"/>
        <v>47902</v>
      </c>
      <c r="M134">
        <f t="shared" si="29"/>
        <v>414</v>
      </c>
    </row>
    <row r="135" spans="1:13" ht="13.5" thickBot="1">
      <c r="A135" s="186" t="s">
        <v>293</v>
      </c>
      <c r="B135" s="187" t="s">
        <v>150</v>
      </c>
      <c r="C135" s="188">
        <v>24</v>
      </c>
      <c r="D135" s="187">
        <v>2031</v>
      </c>
      <c r="E135" s="189" t="s">
        <v>148</v>
      </c>
      <c r="F135" s="188">
        <v>12</v>
      </c>
      <c r="G135" s="188">
        <v>2032</v>
      </c>
      <c r="H135" s="190" t="s">
        <v>149</v>
      </c>
      <c r="I135" s="18" t="str">
        <f t="shared" si="25"/>
        <v>24-Feb-2031</v>
      </c>
      <c r="J135" s="18" t="str">
        <f t="shared" si="26"/>
        <v>12-Ene-2032</v>
      </c>
      <c r="K135" s="111">
        <f t="shared" si="27"/>
        <v>47903</v>
      </c>
      <c r="L135" s="111">
        <f t="shared" si="28"/>
        <v>48225</v>
      </c>
      <c r="M135">
        <f t="shared" si="29"/>
        <v>322</v>
      </c>
    </row>
    <row r="136" spans="1:13">
      <c r="A136" s="175" t="s">
        <v>147</v>
      </c>
      <c r="B136" s="176"/>
      <c r="C136" s="177"/>
      <c r="D136" s="176"/>
      <c r="E136" s="178"/>
      <c r="F136" s="179"/>
      <c r="G136" s="177"/>
      <c r="H136" s="180"/>
      <c r="I136" s="18"/>
      <c r="J136" s="18"/>
      <c r="K136" s="111"/>
      <c r="L136" s="111"/>
    </row>
    <row r="137" spans="1:13">
      <c r="A137" s="181" t="s">
        <v>253</v>
      </c>
      <c r="B137" s="182"/>
      <c r="C137" s="183"/>
      <c r="D137" s="182"/>
      <c r="E137" s="184"/>
      <c r="F137" s="183"/>
      <c r="G137" s="183"/>
      <c r="H137" s="185"/>
      <c r="I137" s="18"/>
      <c r="J137" s="18"/>
      <c r="K137" s="111"/>
      <c r="L137" s="111"/>
    </row>
    <row r="138" spans="1:13">
      <c r="A138" s="181" t="s">
        <v>151</v>
      </c>
      <c r="B138" s="182"/>
      <c r="C138" s="183"/>
      <c r="D138" s="182"/>
      <c r="E138" s="184"/>
      <c r="F138" s="183"/>
      <c r="G138" s="183"/>
      <c r="H138" s="185"/>
      <c r="I138" s="18"/>
      <c r="J138" s="18"/>
      <c r="K138" s="111"/>
      <c r="L138" s="111"/>
    </row>
    <row r="139" spans="1:13">
      <c r="A139" s="181" t="s">
        <v>153</v>
      </c>
      <c r="B139" s="182"/>
      <c r="C139" s="183"/>
      <c r="D139" s="182"/>
      <c r="E139" s="184"/>
      <c r="F139" s="183"/>
      <c r="G139" s="183"/>
      <c r="H139" s="185"/>
      <c r="I139" s="18"/>
      <c r="J139" s="18"/>
      <c r="K139" s="111"/>
      <c r="L139" s="111"/>
    </row>
    <row r="140" spans="1:13">
      <c r="A140" s="181" t="s">
        <v>162</v>
      </c>
      <c r="B140" s="182"/>
      <c r="C140" s="183"/>
      <c r="D140" s="182"/>
      <c r="E140" s="184"/>
      <c r="F140" s="183"/>
      <c r="G140" s="183"/>
      <c r="H140" s="185"/>
      <c r="I140" s="18"/>
      <c r="J140" s="18"/>
      <c r="K140" s="111"/>
      <c r="L140" s="111"/>
    </row>
    <row r="141" spans="1:13">
      <c r="A141" s="181" t="s">
        <v>155</v>
      </c>
      <c r="B141" s="182"/>
      <c r="C141" s="183"/>
      <c r="D141" s="182"/>
      <c r="E141" s="184"/>
      <c r="F141" s="183"/>
      <c r="G141" s="183"/>
      <c r="H141" s="185"/>
      <c r="I141" s="18"/>
      <c r="J141" s="18"/>
      <c r="K141" s="111"/>
      <c r="L141" s="111"/>
    </row>
    <row r="142" spans="1:13">
      <c r="A142" s="181" t="s">
        <v>156</v>
      </c>
      <c r="B142" s="182"/>
      <c r="C142" s="183"/>
      <c r="D142" s="182"/>
      <c r="E142" s="184"/>
      <c r="F142" s="183"/>
      <c r="G142" s="183"/>
      <c r="H142" s="185"/>
      <c r="I142" s="18"/>
      <c r="J142" s="18"/>
      <c r="K142" s="111"/>
      <c r="L142" s="111"/>
    </row>
    <row r="143" spans="1:13">
      <c r="A143" s="181" t="s">
        <v>254</v>
      </c>
      <c r="B143" s="182"/>
      <c r="C143" s="183"/>
      <c r="D143" s="182"/>
      <c r="E143" s="184"/>
      <c r="F143" s="183"/>
      <c r="G143" s="183"/>
      <c r="H143" s="185"/>
      <c r="I143" s="18"/>
      <c r="J143" s="18"/>
      <c r="K143" s="111"/>
      <c r="L143" s="111"/>
    </row>
    <row r="144" spans="1:13">
      <c r="A144" s="181" t="s">
        <v>158</v>
      </c>
      <c r="B144" s="182"/>
      <c r="C144" s="183"/>
      <c r="D144" s="182"/>
      <c r="E144" s="184"/>
      <c r="F144" s="183"/>
      <c r="G144" s="183"/>
      <c r="H144" s="185"/>
      <c r="I144" s="18"/>
      <c r="J144" s="18"/>
      <c r="K144" s="111"/>
      <c r="L144" s="111"/>
    </row>
    <row r="145" spans="1:12">
      <c r="A145" s="181" t="s">
        <v>160</v>
      </c>
      <c r="B145" s="182"/>
      <c r="C145" s="183"/>
      <c r="D145" s="182"/>
      <c r="E145" s="184"/>
      <c r="F145" s="183"/>
      <c r="G145" s="183"/>
      <c r="H145" s="185"/>
      <c r="I145" s="18"/>
      <c r="J145" s="18"/>
      <c r="K145" s="111"/>
      <c r="L145" s="111"/>
    </row>
    <row r="146" spans="1:12">
      <c r="A146" s="181" t="s">
        <v>161</v>
      </c>
      <c r="B146" s="182"/>
      <c r="C146" s="183"/>
      <c r="D146" s="182"/>
      <c r="E146" s="184"/>
      <c r="F146" s="183"/>
      <c r="G146" s="183"/>
      <c r="H146" s="185"/>
      <c r="I146" s="18"/>
      <c r="J146" s="18"/>
      <c r="K146" s="111"/>
      <c r="L146" s="111"/>
    </row>
    <row r="147" spans="1:12" ht="13.5" thickBot="1">
      <c r="A147" s="186" t="s">
        <v>293</v>
      </c>
      <c r="B147" s="187"/>
      <c r="C147" s="188"/>
      <c r="D147" s="187"/>
      <c r="E147" s="189"/>
      <c r="F147" s="188"/>
      <c r="G147" s="188"/>
      <c r="H147" s="190"/>
      <c r="I147" s="18"/>
      <c r="J147" s="18"/>
      <c r="K147" s="111"/>
      <c r="L147" s="111"/>
    </row>
    <row r="148" spans="1:12">
      <c r="A148" s="225"/>
      <c r="B148" s="46"/>
      <c r="C148" s="226"/>
      <c r="D148" s="46"/>
      <c r="E148" s="227"/>
      <c r="F148" s="226"/>
      <c r="G148" s="226"/>
      <c r="H148" s="225"/>
      <c r="I148" s="18"/>
      <c r="J148" s="18"/>
      <c r="K148" s="111"/>
      <c r="L148" s="111"/>
    </row>
    <row r="149" spans="1:12">
      <c r="A149" s="225"/>
      <c r="B149" s="46"/>
      <c r="C149" s="226"/>
      <c r="D149" s="46"/>
      <c r="E149" s="227"/>
      <c r="F149" s="226"/>
      <c r="G149" s="226"/>
      <c r="H149" s="225"/>
      <c r="I149" s="18"/>
      <c r="J149" s="18"/>
      <c r="K149" s="111"/>
      <c r="L149" s="111"/>
    </row>
    <row r="150" spans="1:12">
      <c r="A150" s="103" t="s">
        <v>147</v>
      </c>
    </row>
    <row r="151" spans="1:12">
      <c r="A151" s="103" t="s">
        <v>253</v>
      </c>
    </row>
    <row r="152" spans="1:12">
      <c r="A152" s="103" t="s">
        <v>151</v>
      </c>
    </row>
    <row r="153" spans="1:12">
      <c r="A153" s="103" t="s">
        <v>153</v>
      </c>
    </row>
    <row r="154" spans="1:12">
      <c r="A154" s="103" t="s">
        <v>162</v>
      </c>
    </row>
    <row r="155" spans="1:12">
      <c r="A155" s="103" t="s">
        <v>155</v>
      </c>
    </row>
    <row r="156" spans="1:12">
      <c r="A156" s="103" t="s">
        <v>156</v>
      </c>
    </row>
    <row r="157" spans="1:12">
      <c r="A157" s="103" t="s">
        <v>254</v>
      </c>
    </row>
    <row r="158" spans="1:12">
      <c r="A158" s="103" t="s">
        <v>158</v>
      </c>
    </row>
    <row r="159" spans="1:12">
      <c r="A159" s="103" t="s">
        <v>160</v>
      </c>
    </row>
    <row r="160" spans="1:12">
      <c r="A160" s="103" t="s">
        <v>161</v>
      </c>
    </row>
    <row r="161" spans="1:1">
      <c r="A161" s="103" t="s">
        <v>293</v>
      </c>
    </row>
    <row r="162" spans="1:1">
      <c r="A162" s="103" t="s">
        <v>147</v>
      </c>
    </row>
  </sheetData>
  <mergeCells count="5">
    <mergeCell ref="A1:H1"/>
    <mergeCell ref="A2:A3"/>
    <mergeCell ref="B2:D2"/>
    <mergeCell ref="E2:G2"/>
    <mergeCell ref="H2:H3"/>
  </mergeCells>
  <phoneticPr fontId="11" type="noConversion"/>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7</vt:i4>
      </vt:variant>
    </vt:vector>
  </HeadingPairs>
  <TitlesOfParts>
    <vt:vector size="21" baseType="lpstr">
      <vt:lpstr>Ki</vt:lpstr>
      <vt:lpstr>BIorritmo</vt:lpstr>
      <vt:lpstr>Predicción x Casa</vt:lpstr>
      <vt:lpstr>Compativilidad de Pareja</vt:lpstr>
      <vt:lpstr>1a estrella</vt:lpstr>
      <vt:lpstr>2a Estrella </vt:lpstr>
      <vt:lpstr>Cálculo de 2a. Estrella</vt:lpstr>
      <vt:lpstr>3a Estrella</vt:lpstr>
      <vt:lpstr>Horóscopo</vt:lpstr>
      <vt:lpstr>Signo Resultado</vt:lpstr>
      <vt:lpstr>Ascendente</vt:lpstr>
      <vt:lpstr>Signos</vt:lpstr>
      <vt:lpstr>Hoja1</vt:lpstr>
      <vt:lpstr>Hoja2</vt:lpstr>
      <vt:lpstr>'2a Estrella '!Área_de_impresión</vt:lpstr>
      <vt:lpstr>BIorritmo!Área_de_impresión</vt:lpstr>
      <vt:lpstr>Ki!Área_de_impresión</vt:lpstr>
      <vt:lpstr>NOMBRE</vt:lpstr>
      <vt:lpstr>simbolo</vt:lpstr>
      <vt:lpstr>BIorritmo!Títulos_a_imprimir</vt:lpstr>
      <vt:lpstr>Ki!Títulos_a_imprimir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Zetina Munoz, Jose Roberto</dc:creator>
  <cp:lastModifiedBy>rober</cp:lastModifiedBy>
  <cp:lastPrinted>2022-10-14T05:51:01Z</cp:lastPrinted>
  <dcterms:created xsi:type="dcterms:W3CDTF">2006-05-19T16:35:56Z</dcterms:created>
  <dcterms:modified xsi:type="dcterms:W3CDTF">2022-10-14T06:01:48Z</dcterms:modified>
</cp:coreProperties>
</file>