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erRZM\PerRZM\GENDXF\Documentos\FengShui\"/>
    </mc:Choice>
  </mc:AlternateContent>
  <bookViews>
    <workbookView xWindow="0" yWindow="0" windowWidth="24000" windowHeight="8340"/>
  </bookViews>
  <sheets>
    <sheet name="Ki" sheetId="1" r:id="rId1"/>
    <sheet name="Predicción x Casa" sheetId="11" state="hidden" r:id="rId2"/>
    <sheet name="Compativilidad de Pareja" sheetId="10" state="hidden" r:id="rId3"/>
    <sheet name="1a estrella" sheetId="2" state="hidden" r:id="rId4"/>
    <sheet name="2a Estrella " sheetId="3" state="hidden" r:id="rId5"/>
    <sheet name="Cálculo de 2a. Estrella" sheetId="4" state="hidden" r:id="rId6"/>
    <sheet name="3a Estrella" sheetId="5" state="hidden" r:id="rId7"/>
    <sheet name="Horóscopo" sheetId="7" state="hidden" r:id="rId8"/>
    <sheet name="Signo Resultado" sheetId="8" state="hidden" r:id="rId9"/>
    <sheet name="Ascendente" sheetId="9" state="hidden" r:id="rId10"/>
    <sheet name="Signos" sheetId="6" state="hidden" r:id="rId11"/>
    <sheet name="Hoja1" sheetId="12" state="hidden" r:id="rId12"/>
    <sheet name="Hoja2" sheetId="13" state="hidden" r:id="rId13"/>
  </sheets>
  <definedNames>
    <definedName name="_xlnm.Print_Area" localSheetId="4">'2a Estrella '!$A$1:$BB$2</definedName>
    <definedName name="_xlnm.Print_Area" localSheetId="0">Ki!$A$11:$AM$176</definedName>
    <definedName name="compañero">INDEX(Hoja2!$B$2:$B$13,MATCH(UPPER(Ki!$R$7),Hoja2!$A$2:$A$13,0))</definedName>
    <definedName name="horoscopo">INDEX(Hoja2!$B$2:$B$13,MATCH(Ki!$AK$10,Hoja2!$A$2:$A$13,0))</definedName>
    <definedName name="NOMBRE">Hoja2!$A$2:$A$13</definedName>
    <definedName name="simbolo">Hoja2!$B$2:$B$13</definedName>
    <definedName name="_xlnm.Print_Titles" localSheetId="0">Ki!$1:$10</definedName>
  </definedNames>
  <calcPr calcId="162913"/>
</workbook>
</file>

<file path=xl/calcChain.xml><?xml version="1.0" encoding="utf-8"?>
<calcChain xmlns="http://schemas.openxmlformats.org/spreadsheetml/2006/main">
  <c r="J135" i="7" l="1"/>
  <c r="L135" i="7" s="1"/>
  <c r="I135" i="7"/>
  <c r="K135" i="7" s="1"/>
  <c r="J134" i="7"/>
  <c r="L134" i="7" s="1"/>
  <c r="I134" i="7"/>
  <c r="K134" i="7"/>
  <c r="J133" i="7"/>
  <c r="L133" i="7" s="1"/>
  <c r="I133" i="7"/>
  <c r="K133" i="7" s="1"/>
  <c r="J132" i="7"/>
  <c r="L132" i="7" s="1"/>
  <c r="I132" i="7"/>
  <c r="K132" i="7"/>
  <c r="I124" i="7"/>
  <c r="K124" i="7" s="1"/>
  <c r="J124" i="7"/>
  <c r="L124" i="7" s="1"/>
  <c r="I125" i="7"/>
  <c r="J125" i="7"/>
  <c r="L125" i="7"/>
  <c r="K125" i="7"/>
  <c r="I126" i="7"/>
  <c r="K126" i="7" s="1"/>
  <c r="J126" i="7"/>
  <c r="L126" i="7" s="1"/>
  <c r="I127" i="7"/>
  <c r="K127" i="7"/>
  <c r="J127" i="7"/>
  <c r="L127" i="7" s="1"/>
  <c r="I128" i="7"/>
  <c r="K128" i="7" s="1"/>
  <c r="J128" i="7"/>
  <c r="L128" i="7" s="1"/>
  <c r="I129" i="7"/>
  <c r="K129" i="7"/>
  <c r="J129" i="7"/>
  <c r="L129" i="7" s="1"/>
  <c r="I130" i="7"/>
  <c r="K130" i="7" s="1"/>
  <c r="J130" i="7"/>
  <c r="L130" i="7" s="1"/>
  <c r="I131" i="7"/>
  <c r="M131" i="7" s="1"/>
  <c r="K131" i="7"/>
  <c r="J131" i="7"/>
  <c r="L131" i="7" s="1"/>
  <c r="V10" i="1"/>
  <c r="P5" i="9"/>
  <c r="P6" i="9"/>
  <c r="P7" i="9"/>
  <c r="P8" i="9"/>
  <c r="P9" i="9"/>
  <c r="P10" i="9"/>
  <c r="P11" i="9"/>
  <c r="P12" i="9"/>
  <c r="P13" i="9"/>
  <c r="P14" i="9"/>
  <c r="P15" i="9"/>
  <c r="P16" i="9"/>
  <c r="P4" i="9"/>
  <c r="O5" i="9"/>
  <c r="O6" i="9"/>
  <c r="O7" i="9"/>
  <c r="O8" i="9"/>
  <c r="O9" i="9"/>
  <c r="O10" i="9"/>
  <c r="O11" i="9"/>
  <c r="O12" i="9"/>
  <c r="O13" i="9"/>
  <c r="O14" i="9"/>
  <c r="O15" i="9"/>
  <c r="O16" i="9"/>
  <c r="O4" i="9"/>
  <c r="N5" i="9"/>
  <c r="N6" i="9"/>
  <c r="N7" i="9"/>
  <c r="N8" i="9"/>
  <c r="N9" i="9"/>
  <c r="N10" i="9"/>
  <c r="N11" i="9"/>
  <c r="N12" i="9"/>
  <c r="N13" i="9"/>
  <c r="N14" i="9"/>
  <c r="N15" i="9"/>
  <c r="N16" i="9"/>
  <c r="N4" i="9"/>
  <c r="M5" i="9"/>
  <c r="M6" i="9"/>
  <c r="M7" i="9"/>
  <c r="M8" i="9"/>
  <c r="M9" i="9"/>
  <c r="M10" i="9"/>
  <c r="M11" i="9"/>
  <c r="M12" i="9"/>
  <c r="M13" i="9"/>
  <c r="M14" i="9"/>
  <c r="M15" i="9"/>
  <c r="M16" i="9"/>
  <c r="M4" i="9"/>
  <c r="L5" i="9"/>
  <c r="L6" i="9"/>
  <c r="L7" i="9"/>
  <c r="L8" i="9"/>
  <c r="L9" i="9"/>
  <c r="L10" i="9"/>
  <c r="L11" i="9"/>
  <c r="L12" i="9"/>
  <c r="L13" i="9"/>
  <c r="L14" i="9"/>
  <c r="L15" i="9"/>
  <c r="L16" i="9"/>
  <c r="L4" i="9"/>
  <c r="K5" i="9"/>
  <c r="K6" i="9"/>
  <c r="K7" i="9"/>
  <c r="K8" i="9"/>
  <c r="K9" i="9"/>
  <c r="K10" i="9"/>
  <c r="K11" i="9"/>
  <c r="K12" i="9"/>
  <c r="K13" i="9"/>
  <c r="K14" i="9"/>
  <c r="K15" i="9"/>
  <c r="K16" i="9"/>
  <c r="K4" i="9"/>
  <c r="J16" i="9"/>
  <c r="I14" i="9"/>
  <c r="I15" i="9"/>
  <c r="I16" i="9"/>
  <c r="E4" i="9"/>
  <c r="H15" i="9"/>
  <c r="H16" i="9"/>
  <c r="G15" i="9"/>
  <c r="G16" i="9"/>
  <c r="F16" i="9"/>
  <c r="F15" i="9"/>
  <c r="E16" i="9"/>
  <c r="J15" i="9"/>
  <c r="J5" i="9"/>
  <c r="J6" i="9"/>
  <c r="J7" i="9"/>
  <c r="J8" i="9"/>
  <c r="J9" i="9"/>
  <c r="J10" i="9"/>
  <c r="J11" i="9"/>
  <c r="J12" i="9"/>
  <c r="J13" i="9"/>
  <c r="J14" i="9"/>
  <c r="J4" i="9"/>
  <c r="I5" i="9"/>
  <c r="I6" i="9"/>
  <c r="I7" i="9"/>
  <c r="I8" i="9"/>
  <c r="I9" i="9"/>
  <c r="I10" i="9"/>
  <c r="I11" i="9"/>
  <c r="I12" i="9"/>
  <c r="I13" i="9"/>
  <c r="I4" i="9"/>
  <c r="H5" i="9"/>
  <c r="H6" i="9"/>
  <c r="H7" i="9"/>
  <c r="H8" i="9"/>
  <c r="H9" i="9"/>
  <c r="H10" i="9"/>
  <c r="H11" i="9"/>
  <c r="H12" i="9"/>
  <c r="H13" i="9"/>
  <c r="H14" i="9"/>
  <c r="H4" i="9"/>
  <c r="G5" i="9"/>
  <c r="G6" i="9"/>
  <c r="G7" i="9"/>
  <c r="G8" i="9"/>
  <c r="G9" i="9"/>
  <c r="G10" i="9"/>
  <c r="G11" i="9"/>
  <c r="G12" i="9"/>
  <c r="G13" i="9"/>
  <c r="G14" i="9"/>
  <c r="G4" i="9"/>
  <c r="F5" i="9"/>
  <c r="F6" i="9"/>
  <c r="F7" i="9"/>
  <c r="F8" i="9"/>
  <c r="F9" i="9"/>
  <c r="F10" i="9"/>
  <c r="F11" i="9"/>
  <c r="F12" i="9"/>
  <c r="F13" i="9"/>
  <c r="F14" i="9"/>
  <c r="F4" i="9"/>
  <c r="E6" i="9"/>
  <c r="E7" i="9"/>
  <c r="E8" i="9"/>
  <c r="E9" i="9"/>
  <c r="E10" i="9"/>
  <c r="E11" i="9"/>
  <c r="E12" i="9"/>
  <c r="E13" i="9"/>
  <c r="E14" i="9"/>
  <c r="E15" i="9"/>
  <c r="E5" i="9"/>
  <c r="L8" i="1"/>
  <c r="B103" i="1"/>
  <c r="K135" i="1" s="1"/>
  <c r="O135" i="1" s="1"/>
  <c r="G135" i="1" s="1"/>
  <c r="F134" i="1" s="1"/>
  <c r="I19" i="1"/>
  <c r="K130" i="1" s="1"/>
  <c r="C8" i="1"/>
  <c r="G8" i="1"/>
  <c r="G21" i="4" s="1"/>
  <c r="C4" i="4"/>
  <c r="F10" i="4"/>
  <c r="F4" i="4"/>
  <c r="F5" i="4"/>
  <c r="F6" i="4"/>
  <c r="F7" i="4"/>
  <c r="F8" i="4"/>
  <c r="F9" i="4"/>
  <c r="F11" i="4"/>
  <c r="F12" i="4"/>
  <c r="F13" i="4"/>
  <c r="F14" i="4"/>
  <c r="F15" i="4"/>
  <c r="C123" i="7"/>
  <c r="I123" i="7" s="1"/>
  <c r="M123" i="7" s="1"/>
  <c r="C122" i="7"/>
  <c r="C120" i="7"/>
  <c r="C119" i="7"/>
  <c r="I119" i="7" s="1"/>
  <c r="C113" i="7"/>
  <c r="I113" i="7"/>
  <c r="I23" i="7"/>
  <c r="K23" i="7" s="1"/>
  <c r="G123" i="7"/>
  <c r="G122" i="7"/>
  <c r="J122" i="7"/>
  <c r="M122" i="7"/>
  <c r="G121" i="7"/>
  <c r="G120" i="7"/>
  <c r="G119" i="7"/>
  <c r="G118" i="7"/>
  <c r="J118" i="7"/>
  <c r="L118" i="7" s="1"/>
  <c r="G117" i="7"/>
  <c r="J117" i="7"/>
  <c r="M117" i="7" s="1"/>
  <c r="G116" i="7"/>
  <c r="G115" i="7"/>
  <c r="G114" i="7"/>
  <c r="G113" i="7"/>
  <c r="G112" i="7"/>
  <c r="J112" i="7"/>
  <c r="D123" i="7"/>
  <c r="K123" i="7" s="1"/>
  <c r="D122" i="7"/>
  <c r="I122" i="7"/>
  <c r="D121" i="7"/>
  <c r="D120" i="7"/>
  <c r="D119" i="7"/>
  <c r="D118" i="7"/>
  <c r="D117" i="7"/>
  <c r="I117" i="7" s="1"/>
  <c r="K117" i="7" s="1"/>
  <c r="D116" i="7"/>
  <c r="D115" i="7"/>
  <c r="D114" i="7"/>
  <c r="D113" i="7"/>
  <c r="K113" i="7" s="1"/>
  <c r="D112" i="7"/>
  <c r="A2" i="10"/>
  <c r="B62" i="1"/>
  <c r="B60" i="1"/>
  <c r="C2" i="10"/>
  <c r="B2" i="10"/>
  <c r="DG49" i="1"/>
  <c r="CI49" i="1"/>
  <c r="DG53" i="1"/>
  <c r="CI53" i="1"/>
  <c r="R7" i="1"/>
  <c r="U55" i="1" s="1"/>
  <c r="DG48" i="1"/>
  <c r="DF48" i="1"/>
  <c r="DG47" i="1"/>
  <c r="CI47" i="1"/>
  <c r="DG46" i="1"/>
  <c r="DF46" i="1"/>
  <c r="DG45" i="1"/>
  <c r="CI45" i="1"/>
  <c r="AB67" i="1"/>
  <c r="O67" i="1"/>
  <c r="B67" i="1"/>
  <c r="A145" i="9"/>
  <c r="A75" i="9"/>
  <c r="A158" i="9"/>
  <c r="A21" i="9"/>
  <c r="A43" i="9"/>
  <c r="A40" i="9"/>
  <c r="A60" i="9"/>
  <c r="C5" i="4"/>
  <c r="C6" i="4"/>
  <c r="C15" i="4"/>
  <c r="C14" i="4"/>
  <c r="C13" i="4"/>
  <c r="C12" i="4"/>
  <c r="C11" i="4"/>
  <c r="C10" i="4"/>
  <c r="C9" i="4"/>
  <c r="C8" i="4"/>
  <c r="C7" i="4"/>
  <c r="I11" i="7"/>
  <c r="K11" i="7" s="1"/>
  <c r="I15" i="7"/>
  <c r="K15" i="7"/>
  <c r="I5" i="7"/>
  <c r="K5" i="7"/>
  <c r="J5" i="7"/>
  <c r="L5" i="7"/>
  <c r="I6" i="7"/>
  <c r="K6" i="7" s="1"/>
  <c r="J6" i="7"/>
  <c r="L6" i="7"/>
  <c r="I7" i="7"/>
  <c r="K7" i="7"/>
  <c r="J7" i="7"/>
  <c r="I8" i="7"/>
  <c r="K8" i="7"/>
  <c r="J8" i="7"/>
  <c r="I9" i="7"/>
  <c r="K9" i="7"/>
  <c r="J9" i="7"/>
  <c r="I10" i="7"/>
  <c r="K10" i="7" s="1"/>
  <c r="J10" i="7"/>
  <c r="M10" i="7"/>
  <c r="J11" i="7"/>
  <c r="M11" i="7" s="1"/>
  <c r="I12" i="7"/>
  <c r="K12" i="7" s="1"/>
  <c r="J12" i="7"/>
  <c r="L12" i="7" s="1"/>
  <c r="I13" i="7"/>
  <c r="K13" i="7"/>
  <c r="J13" i="7"/>
  <c r="I14" i="7"/>
  <c r="J14" i="7"/>
  <c r="L14" i="7" s="1"/>
  <c r="J15" i="7"/>
  <c r="M15" i="7" s="1"/>
  <c r="I16" i="7"/>
  <c r="K16" i="7"/>
  <c r="J16" i="7"/>
  <c r="I17" i="7"/>
  <c r="K17" i="7"/>
  <c r="J17" i="7"/>
  <c r="I18" i="7"/>
  <c r="K18" i="7" s="1"/>
  <c r="J18" i="7"/>
  <c r="L18" i="7"/>
  <c r="I19" i="7"/>
  <c r="K19" i="7" s="1"/>
  <c r="J19" i="7"/>
  <c r="I20" i="7"/>
  <c r="K20" i="7"/>
  <c r="J20" i="7"/>
  <c r="I21" i="7"/>
  <c r="K21" i="7"/>
  <c r="J21" i="7"/>
  <c r="I22" i="7"/>
  <c r="M22" i="7" s="1"/>
  <c r="K22" i="7"/>
  <c r="J22" i="7"/>
  <c r="J23" i="7"/>
  <c r="M23" i="7"/>
  <c r="I24" i="7"/>
  <c r="K24" i="7" s="1"/>
  <c r="J24" i="7"/>
  <c r="L24" i="7"/>
  <c r="I25" i="7"/>
  <c r="K25" i="7"/>
  <c r="J25" i="7"/>
  <c r="L25" i="7"/>
  <c r="I26" i="7"/>
  <c r="K26" i="7" s="1"/>
  <c r="J26" i="7"/>
  <c r="I27" i="7"/>
  <c r="J27" i="7"/>
  <c r="L27" i="7"/>
  <c r="I28" i="7"/>
  <c r="K28" i="7"/>
  <c r="J28" i="7"/>
  <c r="L28" i="7" s="1"/>
  <c r="I29" i="7"/>
  <c r="K29" i="7"/>
  <c r="J29" i="7"/>
  <c r="L29" i="7"/>
  <c r="I30" i="7"/>
  <c r="K30" i="7"/>
  <c r="J30" i="7"/>
  <c r="L30" i="7" s="1"/>
  <c r="I31" i="7"/>
  <c r="J31" i="7"/>
  <c r="L31" i="7"/>
  <c r="I32" i="7"/>
  <c r="K32" i="7"/>
  <c r="J32" i="7"/>
  <c r="L32" i="7"/>
  <c r="I33" i="7"/>
  <c r="M33" i="7" s="1"/>
  <c r="J33" i="7"/>
  <c r="L33" i="7"/>
  <c r="I34" i="7"/>
  <c r="K34" i="7" s="1"/>
  <c r="J34" i="7"/>
  <c r="I35" i="7"/>
  <c r="K35" i="7" s="1"/>
  <c r="M35" i="7"/>
  <c r="J35" i="7"/>
  <c r="L35" i="7" s="1"/>
  <c r="I36" i="7"/>
  <c r="K36" i="7" s="1"/>
  <c r="J36" i="7"/>
  <c r="L36" i="7" s="1"/>
  <c r="I37" i="7"/>
  <c r="K37" i="7"/>
  <c r="J37" i="7"/>
  <c r="L37" i="7" s="1"/>
  <c r="I38" i="7"/>
  <c r="K38" i="7" s="1"/>
  <c r="J38" i="7"/>
  <c r="I39" i="7"/>
  <c r="K39" i="7"/>
  <c r="J39" i="7"/>
  <c r="L39" i="7" s="1"/>
  <c r="I40" i="7"/>
  <c r="K40" i="7"/>
  <c r="J40" i="7"/>
  <c r="L40" i="7"/>
  <c r="I41" i="7"/>
  <c r="K41" i="7"/>
  <c r="J41" i="7"/>
  <c r="L41" i="7" s="1"/>
  <c r="I42" i="7"/>
  <c r="K42" i="7"/>
  <c r="J42" i="7"/>
  <c r="I43" i="7"/>
  <c r="J43" i="7"/>
  <c r="L43" i="7"/>
  <c r="I44" i="7"/>
  <c r="K44" i="7" s="1"/>
  <c r="J44" i="7"/>
  <c r="L44" i="7"/>
  <c r="I45" i="7"/>
  <c r="K45" i="7"/>
  <c r="J45" i="7"/>
  <c r="L45" i="7"/>
  <c r="I46" i="7"/>
  <c r="K46" i="7" s="1"/>
  <c r="J46" i="7"/>
  <c r="L46" i="7"/>
  <c r="I47" i="7"/>
  <c r="J47" i="7"/>
  <c r="L47" i="7" s="1"/>
  <c r="I48" i="7"/>
  <c r="K48" i="7"/>
  <c r="J48" i="7"/>
  <c r="L48" i="7" s="1"/>
  <c r="I49" i="7"/>
  <c r="J49" i="7"/>
  <c r="M49" i="7" s="1"/>
  <c r="I50" i="7"/>
  <c r="M50" i="7" s="1"/>
  <c r="K50" i="7"/>
  <c r="J50" i="7"/>
  <c r="I51" i="7"/>
  <c r="J51" i="7"/>
  <c r="L51" i="7" s="1"/>
  <c r="I52" i="7"/>
  <c r="K52" i="7" s="1"/>
  <c r="I53" i="7"/>
  <c r="K53" i="7"/>
  <c r="I54" i="7"/>
  <c r="K54" i="7" s="1"/>
  <c r="I55" i="7"/>
  <c r="K55" i="7" s="1"/>
  <c r="I56" i="7"/>
  <c r="K56" i="7" s="1"/>
  <c r="I57" i="7"/>
  <c r="K57" i="7"/>
  <c r="I58" i="7"/>
  <c r="K58" i="7" s="1"/>
  <c r="I59" i="7"/>
  <c r="K59" i="7" s="1"/>
  <c r="I60" i="7"/>
  <c r="K60" i="7" s="1"/>
  <c r="I61" i="7"/>
  <c r="K61" i="7"/>
  <c r="I62" i="7"/>
  <c r="K62" i="7"/>
  <c r="I63" i="7"/>
  <c r="K63" i="7"/>
  <c r="I64" i="7"/>
  <c r="K64" i="7"/>
  <c r="CU48" i="1" s="1"/>
  <c r="I65" i="7"/>
  <c r="K65" i="7" s="1"/>
  <c r="I66" i="7"/>
  <c r="K66" i="7"/>
  <c r="I67" i="7"/>
  <c r="K67" i="7"/>
  <c r="I68" i="7"/>
  <c r="K68" i="7"/>
  <c r="I69" i="7"/>
  <c r="K69" i="7" s="1"/>
  <c r="I70" i="7"/>
  <c r="K70" i="7"/>
  <c r="I71" i="7"/>
  <c r="K71" i="7"/>
  <c r="I72" i="7"/>
  <c r="K72" i="7"/>
  <c r="I73" i="7"/>
  <c r="K73" i="7" s="1"/>
  <c r="I74" i="7"/>
  <c r="K74" i="7"/>
  <c r="I75" i="7"/>
  <c r="K75" i="7"/>
  <c r="I76" i="7"/>
  <c r="K76" i="7"/>
  <c r="I77" i="7"/>
  <c r="K77" i="7" s="1"/>
  <c r="I78" i="7"/>
  <c r="K78" i="7"/>
  <c r="I79" i="7"/>
  <c r="K79" i="7"/>
  <c r="I80" i="7"/>
  <c r="K80" i="7"/>
  <c r="I81" i="7"/>
  <c r="K81" i="7" s="1"/>
  <c r="I82" i="7"/>
  <c r="K82" i="7"/>
  <c r="I83" i="7"/>
  <c r="K83" i="7"/>
  <c r="I84" i="7"/>
  <c r="K84" i="7"/>
  <c r="I85" i="7"/>
  <c r="K85" i="7" s="1"/>
  <c r="I86" i="7"/>
  <c r="K86" i="7"/>
  <c r="I87" i="7"/>
  <c r="K87" i="7"/>
  <c r="I88" i="7"/>
  <c r="K88" i="7"/>
  <c r="I89" i="7"/>
  <c r="K89" i="7" s="1"/>
  <c r="I90" i="7"/>
  <c r="K90" i="7"/>
  <c r="I91" i="7"/>
  <c r="K91" i="7"/>
  <c r="I92" i="7"/>
  <c r="K92" i="7"/>
  <c r="I93" i="7"/>
  <c r="K93" i="7" s="1"/>
  <c r="I94" i="7"/>
  <c r="K94" i="7"/>
  <c r="I95" i="7"/>
  <c r="K95" i="7" s="1"/>
  <c r="I96" i="7"/>
  <c r="K96" i="7"/>
  <c r="I97" i="7"/>
  <c r="K97" i="7" s="1"/>
  <c r="I98" i="7"/>
  <c r="K98" i="7"/>
  <c r="I99" i="7"/>
  <c r="K99" i="7" s="1"/>
  <c r="I100" i="7"/>
  <c r="K100" i="7"/>
  <c r="I101" i="7"/>
  <c r="K101" i="7" s="1"/>
  <c r="I102" i="7"/>
  <c r="K102" i="7"/>
  <c r="I103" i="7"/>
  <c r="K103" i="7" s="1"/>
  <c r="I104" i="7"/>
  <c r="K104" i="7"/>
  <c r="I105" i="7"/>
  <c r="K105" i="7" s="1"/>
  <c r="I106" i="7"/>
  <c r="K106" i="7" s="1"/>
  <c r="J106" i="7"/>
  <c r="L106" i="7" s="1"/>
  <c r="I107" i="7"/>
  <c r="K107" i="7" s="1"/>
  <c r="I108" i="7"/>
  <c r="K108" i="7"/>
  <c r="I109" i="7"/>
  <c r="K109" i="7" s="1"/>
  <c r="I110" i="7"/>
  <c r="K110" i="7"/>
  <c r="I111" i="7"/>
  <c r="K111" i="7" s="1"/>
  <c r="J111" i="7"/>
  <c r="J4" i="7"/>
  <c r="M4" i="7" s="1"/>
  <c r="L4" i="7"/>
  <c r="I4" i="7"/>
  <c r="K4" i="7"/>
  <c r="F110" i="7"/>
  <c r="J110" i="7" s="1"/>
  <c r="F109" i="7"/>
  <c r="J109" i="7"/>
  <c r="L109" i="7" s="1"/>
  <c r="F108" i="7"/>
  <c r="J108" i="7"/>
  <c r="L108" i="7" s="1"/>
  <c r="F107" i="7"/>
  <c r="J107" i="7" s="1"/>
  <c r="F105" i="7"/>
  <c r="J105" i="7"/>
  <c r="L105" i="7" s="1"/>
  <c r="F104" i="7"/>
  <c r="J104" i="7"/>
  <c r="L104" i="7" s="1"/>
  <c r="F103" i="7"/>
  <c r="J103" i="7" s="1"/>
  <c r="F102" i="7"/>
  <c r="J102" i="7"/>
  <c r="L102" i="7" s="1"/>
  <c r="F101" i="7"/>
  <c r="J101" i="7" s="1"/>
  <c r="F100" i="7"/>
  <c r="J100" i="7"/>
  <c r="F99" i="7"/>
  <c r="J99" i="7"/>
  <c r="M99" i="7" s="1"/>
  <c r="F98" i="7"/>
  <c r="J98" i="7"/>
  <c r="L98" i="7" s="1"/>
  <c r="F97" i="7"/>
  <c r="J97" i="7" s="1"/>
  <c r="F96" i="7"/>
  <c r="J96" i="7"/>
  <c r="L96" i="7" s="1"/>
  <c r="F95" i="7"/>
  <c r="J95" i="7"/>
  <c r="L95" i="7" s="1"/>
  <c r="F94" i="7"/>
  <c r="J94" i="7" s="1"/>
  <c r="F93" i="7"/>
  <c r="J93" i="7"/>
  <c r="L93" i="7" s="1"/>
  <c r="F92" i="7"/>
  <c r="J92" i="7" s="1"/>
  <c r="F91" i="7"/>
  <c r="J91" i="7"/>
  <c r="F90" i="7"/>
  <c r="J90" i="7"/>
  <c r="L90" i="7" s="1"/>
  <c r="F89" i="7"/>
  <c r="J89" i="7" s="1"/>
  <c r="F88" i="7"/>
  <c r="J88" i="7" s="1"/>
  <c r="F87" i="7"/>
  <c r="J87" i="7"/>
  <c r="M87" i="7" s="1"/>
  <c r="F86" i="7"/>
  <c r="J86" i="7" s="1"/>
  <c r="F85" i="7"/>
  <c r="J85" i="7"/>
  <c r="F84" i="7"/>
  <c r="J84" i="7"/>
  <c r="L84" i="7" s="1"/>
  <c r="F83" i="7"/>
  <c r="J83" i="7"/>
  <c r="M83" i="7" s="1"/>
  <c r="F82" i="7"/>
  <c r="J82" i="7" s="1"/>
  <c r="F81" i="7"/>
  <c r="J81" i="7"/>
  <c r="L81" i="7" s="1"/>
  <c r="F80" i="7"/>
  <c r="J80" i="7" s="1"/>
  <c r="F79" i="7"/>
  <c r="J79" i="7" s="1"/>
  <c r="F78" i="7"/>
  <c r="J78" i="7"/>
  <c r="L78" i="7" s="1"/>
  <c r="M78" i="7"/>
  <c r="F77" i="7"/>
  <c r="J77" i="7"/>
  <c r="L77" i="7" s="1"/>
  <c r="F76" i="7"/>
  <c r="J76" i="7" s="1"/>
  <c r="F75" i="7"/>
  <c r="J75" i="7"/>
  <c r="M75" i="7" s="1"/>
  <c r="F74" i="7"/>
  <c r="J74" i="7" s="1"/>
  <c r="F73" i="7"/>
  <c r="J73" i="7" s="1"/>
  <c r="F72" i="7"/>
  <c r="J72" i="7"/>
  <c r="M72" i="7" s="1"/>
  <c r="F71" i="7"/>
  <c r="J71" i="7"/>
  <c r="M71" i="7" s="1"/>
  <c r="F70" i="7"/>
  <c r="J70" i="7" s="1"/>
  <c r="F69" i="7"/>
  <c r="J69" i="7"/>
  <c r="M69" i="7" s="1"/>
  <c r="F68" i="7"/>
  <c r="J68" i="7" s="1"/>
  <c r="F67" i="7"/>
  <c r="J67" i="7" s="1"/>
  <c r="F66" i="7"/>
  <c r="J66" i="7"/>
  <c r="M66" i="7" s="1"/>
  <c r="F65" i="7"/>
  <c r="J65" i="7" s="1"/>
  <c r="F64" i="7"/>
  <c r="J64" i="7"/>
  <c r="L64" i="7" s="1"/>
  <c r="M64" i="7"/>
  <c r="F63" i="7"/>
  <c r="J63" i="7" s="1"/>
  <c r="F54" i="7"/>
  <c r="J54" i="7" s="1"/>
  <c r="F55" i="7"/>
  <c r="J55" i="7"/>
  <c r="M55" i="7" s="1"/>
  <c r="L55" i="7"/>
  <c r="F56" i="7"/>
  <c r="J56" i="7" s="1"/>
  <c r="F57" i="7"/>
  <c r="J57" i="7" s="1"/>
  <c r="F58" i="7"/>
  <c r="J58" i="7"/>
  <c r="L58" i="7" s="1"/>
  <c r="M58" i="7"/>
  <c r="F59" i="7"/>
  <c r="J59" i="7"/>
  <c r="M59" i="7" s="1"/>
  <c r="F60" i="7"/>
  <c r="J60" i="7" s="1"/>
  <c r="F61" i="7"/>
  <c r="J61" i="7"/>
  <c r="L61" i="7" s="1"/>
  <c r="M61" i="7"/>
  <c r="F62" i="7"/>
  <c r="J62" i="7"/>
  <c r="M62" i="7" s="1"/>
  <c r="F53" i="7"/>
  <c r="J53" i="7" s="1"/>
  <c r="F52" i="7"/>
  <c r="J52" i="7"/>
  <c r="L52" i="7" s="1"/>
  <c r="M52" i="7"/>
  <c r="J113" i="7"/>
  <c r="L113" i="7" s="1"/>
  <c r="M113" i="7"/>
  <c r="C114" i="7"/>
  <c r="I114" i="7" s="1"/>
  <c r="K114" i="7" s="1"/>
  <c r="J114" i="7"/>
  <c r="C115" i="7"/>
  <c r="I115" i="7"/>
  <c r="K115" i="7" s="1"/>
  <c r="J115" i="7"/>
  <c r="C116" i="7"/>
  <c r="I116" i="7" s="1"/>
  <c r="J116" i="7"/>
  <c r="C117" i="7"/>
  <c r="C118" i="7"/>
  <c r="I118" i="7"/>
  <c r="K118" i="7" s="1"/>
  <c r="J119" i="7"/>
  <c r="L119" i="7" s="1"/>
  <c r="I120" i="7"/>
  <c r="K120" i="7"/>
  <c r="J121" i="7"/>
  <c r="L121" i="7" s="1"/>
  <c r="C121" i="7"/>
  <c r="I121" i="7"/>
  <c r="K121" i="7" s="1"/>
  <c r="J120" i="7"/>
  <c r="L116" i="7"/>
  <c r="L114" i="7"/>
  <c r="L62" i="7"/>
  <c r="M111" i="7"/>
  <c r="L111" i="7"/>
  <c r="L10" i="7"/>
  <c r="L9" i="7"/>
  <c r="M8" i="7"/>
  <c r="L8" i="7"/>
  <c r="M7" i="7"/>
  <c r="L7" i="7"/>
  <c r="M5" i="7"/>
  <c r="L23" i="7"/>
  <c r="M48" i="7"/>
  <c r="M41" i="7"/>
  <c r="M36" i="7"/>
  <c r="M32" i="7"/>
  <c r="M25" i="7"/>
  <c r="M13" i="7"/>
  <c r="L22" i="7"/>
  <c r="L21" i="7"/>
  <c r="L19" i="7"/>
  <c r="L17" i="7"/>
  <c r="L15" i="7"/>
  <c r="L13" i="7"/>
  <c r="L11" i="7"/>
  <c r="L112" i="7"/>
  <c r="I112" i="7"/>
  <c r="M112" i="7" s="1"/>
  <c r="K112" i="7"/>
  <c r="L85" i="7"/>
  <c r="M29" i="7"/>
  <c r="M37" i="7"/>
  <c r="M45" i="7"/>
  <c r="L50" i="7"/>
  <c r="L42" i="7"/>
  <c r="M42" i="7"/>
  <c r="L38" i="7"/>
  <c r="M38" i="7"/>
  <c r="L34" i="7"/>
  <c r="M34" i="7"/>
  <c r="L26" i="7"/>
  <c r="M96" i="7"/>
  <c r="L100" i="7"/>
  <c r="K51" i="7"/>
  <c r="K47" i="7"/>
  <c r="M47" i="7"/>
  <c r="K43" i="7"/>
  <c r="M43" i="7"/>
  <c r="M39" i="7"/>
  <c r="K31" i="7"/>
  <c r="M31" i="7"/>
  <c r="K27" i="7"/>
  <c r="M27" i="7"/>
  <c r="M20" i="7"/>
  <c r="L20" i="7"/>
  <c r="M16" i="7"/>
  <c r="L16" i="7"/>
  <c r="K14" i="7"/>
  <c r="M14" i="7"/>
  <c r="J123" i="7"/>
  <c r="L123" i="7" s="1"/>
  <c r="K122" i="7"/>
  <c r="M84" i="7"/>
  <c r="M104" i="7"/>
  <c r="M21" i="7"/>
  <c r="M19" i="7"/>
  <c r="M17" i="7"/>
  <c r="M106" i="7"/>
  <c r="M108" i="7"/>
  <c r="M100" i="7"/>
  <c r="L115" i="7"/>
  <c r="L120" i="7"/>
  <c r="M120" i="7"/>
  <c r="L59" i="7"/>
  <c r="L91" i="7"/>
  <c r="M91" i="7"/>
  <c r="M46" i="7"/>
  <c r="M12" i="7"/>
  <c r="M40" i="7"/>
  <c r="M51" i="7"/>
  <c r="K49" i="7"/>
  <c r="M18" i="7"/>
  <c r="L122" i="7"/>
  <c r="M9" i="7"/>
  <c r="K26" i="4"/>
  <c r="A1" i="10"/>
  <c r="E15" i="10" s="1"/>
  <c r="K106" i="1"/>
  <c r="K155" i="1"/>
  <c r="K149" i="1"/>
  <c r="K173" i="1"/>
  <c r="K118" i="1"/>
  <c r="K161" i="1"/>
  <c r="B99" i="1"/>
  <c r="K136" i="1"/>
  <c r="G77" i="1"/>
  <c r="F76" i="1" s="1"/>
  <c r="F77" i="1" s="1"/>
  <c r="I76" i="1" s="1"/>
  <c r="G78" i="1" s="1"/>
  <c r="G76" i="1" s="1"/>
  <c r="F78" i="1" s="1"/>
  <c r="I77" i="1" s="1"/>
  <c r="I78" i="1" s="1"/>
  <c r="K112" i="1"/>
  <c r="M135" i="7"/>
  <c r="M134" i="7"/>
  <c r="M133" i="7"/>
  <c r="M132" i="7"/>
  <c r="M129" i="7"/>
  <c r="M124" i="7"/>
  <c r="M130" i="7"/>
  <c r="M125" i="7"/>
  <c r="K117" i="1"/>
  <c r="O117" i="1" s="1"/>
  <c r="G117" i="1" s="1"/>
  <c r="F116" i="1" s="1"/>
  <c r="K129" i="1"/>
  <c r="O129" i="1" s="1"/>
  <c r="G129" i="1" s="1"/>
  <c r="F128" i="1" s="1"/>
  <c r="K142" i="1"/>
  <c r="O142" i="1" s="1"/>
  <c r="G142" i="1" s="1"/>
  <c r="F141" i="1" s="1"/>
  <c r="K160" i="1"/>
  <c r="O160" i="1" s="1"/>
  <c r="G160" i="1" s="1"/>
  <c r="F159" i="1" s="1"/>
  <c r="K123" i="1"/>
  <c r="O123" i="1" s="1"/>
  <c r="G123" i="1" s="1"/>
  <c r="F122" i="1" s="1"/>
  <c r="K166" i="1"/>
  <c r="O166" i="1" s="1"/>
  <c r="G166" i="1" s="1"/>
  <c r="F165" i="1" s="1"/>
  <c r="M94" i="7" l="1"/>
  <c r="L94" i="7"/>
  <c r="M57" i="7"/>
  <c r="L57" i="7"/>
  <c r="L79" i="7"/>
  <c r="M79" i="7"/>
  <c r="M110" i="7"/>
  <c r="L110" i="7"/>
  <c r="M73" i="7"/>
  <c r="L73" i="7"/>
  <c r="M74" i="7"/>
  <c r="L74" i="7"/>
  <c r="M89" i="7"/>
  <c r="L89" i="7"/>
  <c r="M116" i="7"/>
  <c r="K116" i="7"/>
  <c r="A140" i="1" s="1"/>
  <c r="M56" i="7"/>
  <c r="L56" i="7"/>
  <c r="L70" i="7"/>
  <c r="M70" i="7"/>
  <c r="L80" i="7"/>
  <c r="M80" i="7"/>
  <c r="CU46" i="1"/>
  <c r="M68" i="7"/>
  <c r="L68" i="7"/>
  <c r="L60" i="7"/>
  <c r="M60" i="7"/>
  <c r="M76" i="7"/>
  <c r="L76" i="7"/>
  <c r="M88" i="7"/>
  <c r="L88" i="7"/>
  <c r="M65" i="7"/>
  <c r="L65" i="7"/>
  <c r="M86" i="7"/>
  <c r="L86" i="7"/>
  <c r="L101" i="7"/>
  <c r="M101" i="7"/>
  <c r="L107" i="7"/>
  <c r="M107" i="7"/>
  <c r="M63" i="7"/>
  <c r="L63" i="7"/>
  <c r="M82" i="7"/>
  <c r="L82" i="7"/>
  <c r="M92" i="7"/>
  <c r="L92" i="7"/>
  <c r="L97" i="7"/>
  <c r="M97" i="7"/>
  <c r="L103" i="7"/>
  <c r="M103" i="7"/>
  <c r="M53" i="7"/>
  <c r="L53" i="7"/>
  <c r="M114" i="7"/>
  <c r="M54" i="7"/>
  <c r="L54" i="7"/>
  <c r="L67" i="7"/>
  <c r="M67" i="7"/>
  <c r="M119" i="7"/>
  <c r="K119" i="7"/>
  <c r="M109" i="7"/>
  <c r="L117" i="7"/>
  <c r="M115" i="7"/>
  <c r="L49" i="7"/>
  <c r="M128" i="7"/>
  <c r="M105" i="7"/>
  <c r="K33" i="7"/>
  <c r="M118" i="7"/>
  <c r="L71" i="7"/>
  <c r="L66" i="7"/>
  <c r="M26" i="7"/>
  <c r="M95" i="7"/>
  <c r="L87" i="7"/>
  <c r="L75" i="7"/>
  <c r="M24" i="7"/>
  <c r="L83" i="7"/>
  <c r="M126" i="7"/>
  <c r="M102" i="7"/>
  <c r="M98" i="7"/>
  <c r="L72" i="7"/>
  <c r="M30" i="7"/>
  <c r="R5" i="1"/>
  <c r="U54" i="1" s="1"/>
  <c r="M44" i="7"/>
  <c r="E26" i="10"/>
  <c r="M127" i="7"/>
  <c r="E36" i="10"/>
  <c r="M6" i="7"/>
  <c r="M90" i="7"/>
  <c r="L99" i="7"/>
  <c r="M93" i="7"/>
  <c r="M28" i="7"/>
  <c r="M77" i="7"/>
  <c r="M81" i="7"/>
  <c r="M121" i="7"/>
  <c r="DG41" i="1"/>
  <c r="M85" i="7"/>
  <c r="L69" i="7"/>
  <c r="A103" i="1"/>
  <c r="K105" i="1"/>
  <c r="O105" i="1" s="1"/>
  <c r="G105" i="1" s="1"/>
  <c r="F104" i="1" s="1"/>
  <c r="F105" i="1" s="1"/>
  <c r="I104" i="1" s="1"/>
  <c r="G106" i="1" s="1"/>
  <c r="G104" i="1" s="1"/>
  <c r="F106" i="1" s="1"/>
  <c r="I105" i="1" s="1"/>
  <c r="I106" i="1" s="1"/>
  <c r="G14" i="4"/>
  <c r="K154" i="1"/>
  <c r="O154" i="1" s="1"/>
  <c r="G154" i="1" s="1"/>
  <c r="F153" i="1" s="1"/>
  <c r="F154" i="1" s="1"/>
  <c r="I153" i="1" s="1"/>
  <c r="G155" i="1" s="1"/>
  <c r="G153" i="1" s="1"/>
  <c r="F155" i="1" s="1"/>
  <c r="I154" i="1" s="1"/>
  <c r="I155" i="1" s="1"/>
  <c r="K111" i="1"/>
  <c r="O111" i="1" s="1"/>
  <c r="G111" i="1" s="1"/>
  <c r="F110" i="1" s="1"/>
  <c r="F111" i="1" s="1"/>
  <c r="I110" i="1" s="1"/>
  <c r="G112" i="1" s="1"/>
  <c r="G110" i="1" s="1"/>
  <c r="F112" i="1" s="1"/>
  <c r="I111" i="1" s="1"/>
  <c r="I112" i="1" s="1"/>
  <c r="E28" i="10"/>
  <c r="E40" i="10"/>
  <c r="E12" i="10"/>
  <c r="B34" i="1"/>
  <c r="E34" i="10"/>
  <c r="E31" i="10"/>
  <c r="E9" i="10"/>
  <c r="E39" i="10"/>
  <c r="E20" i="10"/>
  <c r="E29" i="10"/>
  <c r="G15" i="4"/>
  <c r="CI41" i="1"/>
  <c r="E2" i="10"/>
  <c r="K143" i="1"/>
  <c r="E1" i="10"/>
  <c r="H3" i="10" s="1"/>
  <c r="T64" i="1" s="1"/>
  <c r="E41" i="10"/>
  <c r="E10" i="10"/>
  <c r="E24" i="10"/>
  <c r="E22" i="10"/>
  <c r="E18" i="10"/>
  <c r="E49" i="10"/>
  <c r="E46" i="10"/>
  <c r="E14" i="10"/>
  <c r="E51" i="10"/>
  <c r="E13" i="10"/>
  <c r="E16" i="10"/>
  <c r="K167" i="1"/>
  <c r="K148" i="1"/>
  <c r="O148" i="1" s="1"/>
  <c r="G148" i="1" s="1"/>
  <c r="F147" i="1" s="1"/>
  <c r="F148" i="1" s="1"/>
  <c r="I147" i="1" s="1"/>
  <c r="G149" i="1" s="1"/>
  <c r="G147" i="1" s="1"/>
  <c r="F149" i="1" s="1"/>
  <c r="I148" i="1" s="1"/>
  <c r="I149" i="1" s="1"/>
  <c r="B140" i="1"/>
  <c r="K172" i="1"/>
  <c r="O172" i="1" s="1"/>
  <c r="G172" i="1" s="1"/>
  <c r="F171" i="1" s="1"/>
  <c r="F172" i="1" s="1"/>
  <c r="I171" i="1" s="1"/>
  <c r="G173" i="1" s="1"/>
  <c r="G171" i="1" s="1"/>
  <c r="F173" i="1" s="1"/>
  <c r="I172" i="1" s="1"/>
  <c r="I173" i="1" s="1"/>
  <c r="DF41" i="1"/>
  <c r="G11" i="4"/>
  <c r="B41" i="1"/>
  <c r="B42" i="1"/>
  <c r="CI48" i="1"/>
  <c r="K124" i="1"/>
  <c r="B44" i="1"/>
  <c r="CI46" i="1"/>
  <c r="B43" i="1"/>
  <c r="E96" i="1"/>
  <c r="E11" i="10"/>
  <c r="E27" i="10"/>
  <c r="T98" i="1"/>
  <c r="A40" i="1"/>
  <c r="G5" i="4"/>
  <c r="G10" i="4"/>
  <c r="G22" i="4"/>
  <c r="G23" i="4" s="1"/>
  <c r="G13" i="4"/>
  <c r="AH4" i="8"/>
  <c r="M1" i="7"/>
  <c r="X5" i="8"/>
  <c r="M5" i="8"/>
  <c r="G20" i="4"/>
  <c r="G7" i="4"/>
  <c r="AH5" i="8"/>
  <c r="AK10" i="1"/>
  <c r="B49" i="1"/>
  <c r="CU41" i="1"/>
  <c r="AH2" i="8"/>
  <c r="G8" i="4"/>
  <c r="G6" i="4"/>
  <c r="G12" i="4"/>
  <c r="B55" i="1"/>
  <c r="G4" i="4"/>
  <c r="G9" i="4"/>
  <c r="F142" i="1"/>
  <c r="I141" i="1" s="1"/>
  <c r="G143" i="1" s="1"/>
  <c r="G141" i="1" s="1"/>
  <c r="F143" i="1" s="1"/>
  <c r="I142" i="1" s="1"/>
  <c r="I143" i="1" s="1"/>
  <c r="F160" i="1"/>
  <c r="I159" i="1" s="1"/>
  <c r="G161" i="1" s="1"/>
  <c r="G159" i="1" s="1"/>
  <c r="F161" i="1" s="1"/>
  <c r="I160" i="1" s="1"/>
  <c r="I161" i="1" s="1"/>
  <c r="F129" i="1"/>
  <c r="I128" i="1" s="1"/>
  <c r="G130" i="1" s="1"/>
  <c r="G128" i="1" s="1"/>
  <c r="F130" i="1" s="1"/>
  <c r="I129" i="1" s="1"/>
  <c r="I130" i="1" s="1"/>
  <c r="F166" i="1"/>
  <c r="I165" i="1" s="1"/>
  <c r="G167" i="1" s="1"/>
  <c r="G165" i="1" s="1"/>
  <c r="F167" i="1" s="1"/>
  <c r="I166" i="1" s="1"/>
  <c r="I167" i="1" s="1"/>
  <c r="F123" i="1"/>
  <c r="I122" i="1" s="1"/>
  <c r="G124" i="1" s="1"/>
  <c r="G122" i="1" s="1"/>
  <c r="F124" i="1" s="1"/>
  <c r="I123" i="1" s="1"/>
  <c r="I124" i="1" s="1"/>
  <c r="F117" i="1"/>
  <c r="I116" i="1" s="1"/>
  <c r="G118" i="1" s="1"/>
  <c r="G116" i="1" s="1"/>
  <c r="F118" i="1" s="1"/>
  <c r="I117" i="1" s="1"/>
  <c r="I118" i="1" s="1"/>
  <c r="F135" i="1"/>
  <c r="I134" i="1" s="1"/>
  <c r="G136" i="1" s="1"/>
  <c r="G134" i="1" s="1"/>
  <c r="F136" i="1" s="1"/>
  <c r="I135" i="1" s="1"/>
  <c r="I136" i="1" s="1"/>
  <c r="P10" i="1" l="1"/>
  <c r="B5" i="8"/>
  <c r="AH1" i="8"/>
  <c r="B6" i="8"/>
  <c r="AH3" i="8"/>
  <c r="B7" i="8"/>
  <c r="E3" i="10"/>
  <c r="B68" i="1" s="1"/>
  <c r="I3" i="10"/>
  <c r="B65" i="1" s="1"/>
  <c r="O130" i="1"/>
  <c r="Q127" i="1" s="1"/>
  <c r="G24" i="4"/>
  <c r="G25" i="4" s="1"/>
  <c r="K32" i="4" s="1"/>
  <c r="O149" i="1"/>
  <c r="Q146" i="1" s="1"/>
  <c r="O112" i="1"/>
  <c r="Q109" i="1" s="1"/>
  <c r="O161" i="1"/>
  <c r="Q158" i="1" s="1"/>
  <c r="O124" i="1"/>
  <c r="Q121" i="1" s="1"/>
  <c r="O136" i="1"/>
  <c r="Q133" i="1" s="1"/>
  <c r="O173" i="1"/>
  <c r="Q170" i="1" s="1"/>
  <c r="O155" i="1"/>
  <c r="Q152" i="1" s="1"/>
  <c r="O167" i="1"/>
  <c r="Q164" i="1" s="1"/>
  <c r="O106" i="1"/>
  <c r="Q103" i="1" s="1"/>
  <c r="O118" i="1"/>
  <c r="Q115" i="1" s="1"/>
  <c r="O143" i="1"/>
  <c r="Q140" i="1" s="1"/>
  <c r="AI1" i="8" l="1"/>
  <c r="AI5" i="8"/>
  <c r="AI2" i="8"/>
  <c r="AJ5" i="8" s="1"/>
  <c r="B3" i="8" s="1"/>
  <c r="B11" i="8" s="1"/>
  <c r="B71" i="1" s="1"/>
  <c r="AI3" i="8"/>
  <c r="X1" i="8" s="1"/>
  <c r="X9" i="8" s="1"/>
  <c r="B52" i="1" s="1"/>
  <c r="AI4" i="8"/>
  <c r="B2" i="8" s="1"/>
  <c r="B10" i="8" s="1"/>
  <c r="B70" i="1" s="1"/>
  <c r="U19" i="1"/>
  <c r="S77" i="1" s="1"/>
  <c r="B1" i="8" l="1"/>
  <c r="B9" i="8" s="1"/>
  <c r="B50" i="1" s="1"/>
  <c r="AJ2" i="8"/>
  <c r="M1" i="8" s="1"/>
  <c r="M9" i="8" s="1"/>
  <c r="B51" i="1" s="1"/>
  <c r="AJ4" i="8"/>
  <c r="AJ3" i="8"/>
  <c r="AJ1" i="8"/>
  <c r="O34" i="1"/>
  <c r="B1" i="10"/>
  <c r="F44" i="10" s="1"/>
  <c r="AG19" i="1"/>
  <c r="AA34" i="1" s="1"/>
  <c r="B45" i="1"/>
  <c r="F19" i="10"/>
  <c r="R76" i="1"/>
  <c r="R77" i="1" s="1"/>
  <c r="U76" i="1" s="1"/>
  <c r="S78" i="1" s="1"/>
  <c r="S76" i="1" s="1"/>
  <c r="R78" i="1" s="1"/>
  <c r="U77" i="1" s="1"/>
  <c r="U78" i="1" s="1"/>
  <c r="CI40" i="1"/>
  <c r="B46" i="1"/>
  <c r="Q96" i="1"/>
  <c r="F14" i="10" l="1"/>
  <c r="F27" i="10"/>
  <c r="F34" i="10"/>
  <c r="C1" i="10"/>
  <c r="G23" i="10" s="1"/>
  <c r="F9" i="10"/>
  <c r="AE77" i="1"/>
  <c r="B47" i="1"/>
  <c r="F18" i="10"/>
  <c r="F37" i="10"/>
  <c r="F35" i="10"/>
  <c r="F21" i="10"/>
  <c r="F28" i="10"/>
  <c r="F29" i="10"/>
  <c r="F15" i="10"/>
  <c r="F26" i="10"/>
  <c r="F42" i="10"/>
  <c r="F1" i="10"/>
  <c r="F36" i="10"/>
  <c r="F10" i="10"/>
  <c r="F24" i="10"/>
  <c r="F23" i="10"/>
  <c r="F16" i="10"/>
  <c r="F11" i="10"/>
  <c r="F39" i="10"/>
  <c r="F20" i="10"/>
  <c r="F12" i="10"/>
  <c r="F48" i="10"/>
  <c r="F2" i="10"/>
  <c r="F13" i="10"/>
  <c r="F46" i="10"/>
  <c r="F49" i="10"/>
  <c r="F33" i="10"/>
  <c r="G51" i="10"/>
  <c r="G40" i="10"/>
  <c r="G22" i="10"/>
  <c r="G33" i="10"/>
  <c r="G1" i="10"/>
  <c r="G3" i="10" s="1"/>
  <c r="AB68" i="1" s="1"/>
  <c r="G37" i="10"/>
  <c r="G10" i="10"/>
  <c r="G14" i="10"/>
  <c r="G18" i="10"/>
  <c r="G20" i="10"/>
  <c r="G36" i="10"/>
  <c r="G44" i="10"/>
  <c r="G13" i="10"/>
  <c r="DG40" i="1"/>
  <c r="B48" i="1"/>
  <c r="AC96" i="1"/>
  <c r="AD76" i="1"/>
  <c r="AD77" i="1" s="1"/>
  <c r="AG76" i="1" s="1"/>
  <c r="AE78" i="1" s="1"/>
  <c r="AE76" i="1" s="1"/>
  <c r="AD78" i="1" s="1"/>
  <c r="AG77" i="1" s="1"/>
  <c r="AG78" i="1" s="1"/>
  <c r="G11" i="10" l="1"/>
  <c r="G49" i="10"/>
  <c r="G28" i="10"/>
  <c r="G31" i="10"/>
  <c r="G42" i="10"/>
  <c r="G2" i="10"/>
  <c r="G34" i="10"/>
  <c r="G46" i="10"/>
  <c r="G29" i="10"/>
  <c r="G24" i="10"/>
  <c r="G16" i="10"/>
  <c r="G15" i="10"/>
  <c r="G35" i="10"/>
  <c r="G9" i="10"/>
  <c r="F3" i="10"/>
  <c r="O68" i="1" s="1"/>
</calcChain>
</file>

<file path=xl/sharedStrings.xml><?xml version="1.0" encoding="utf-8"?>
<sst xmlns="http://schemas.openxmlformats.org/spreadsheetml/2006/main" count="1875" uniqueCount="513">
  <si>
    <t>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t>
  </si>
  <si>
    <t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t>
  </si>
  <si>
    <t xml:space="preserve"> En las cuestiones amorosas llegan a hacerse mucho daño y con frecuencia desilusionan a sus parejas. Serán muy dichosos con los búfalo es, las serpientes, los dragones... ¡Pero por nada del mundo han de aceptar la compañía de los gatos!. Se cuenta una leyenda en Asia referente a que una pareja de gallos es capaz de hacer la vida imposible a cualquiera: además, resultan muy fértiles y suelen tener hijos "no deseados". </t>
  </si>
  <si>
    <t xml:space="preserve">Personajes búfalo </t>
  </si>
  <si>
    <t>La gente bajo signo del búfalo  son pacientes, taciturnos e inspiran confianza en otras personas. Tienden para ser excéntricos, y encolerizan fácilmente. Tienen genios feroces y aunque hablan poco, cuando lo hacen son absolutamente elocuentes. La gente del búfalo  está mentalmente y físicamente alerta. Generalmente tolerante, el es notable obstinado, y ella odia fallar o ser opuesta. Ella es la más compatible con la gente de la serpiente, del gallo, y de la rata. Los búfalo son personas cordiales y pacientes, que corren el peligro de ser consideradas algo excéntricas. Pero saben inspirar confianza en las gentes que los rodean. Suelen mostrar una gran habilidad manual y con sus manos realizan un gran número de creaciones.</t>
  </si>
  <si>
    <t>VERIFICANDO SI EXISTE INCOMPATIBILIDAD CON EL ASCENDENTE</t>
  </si>
  <si>
    <t xml:space="preserve">Aman la libertad y son románticos, soñadores, idealistas, creen en los cuentos de hadas y expresan sus sentimientos y emociones con mucha facilidad aunque por su vivacidad pueden caer en contradicciones. Siempre están acompañados y a veces dan la apariencia de veleidosos y engreídos. Se cansan con facilidad, sobre todo cuando se aburren o no encuentran motivación a su vanidad y su ego. Fantasean mucho con sus sentimientos, son fieles mientras la relación dure. Son excelentes en ventas, relaciones públicas, modelaje diseño de modas, publicidad, solución de conflictos, comunicación; son buenos locutores, periodistas, mercadólogos, artistas, cantantes, artesanos, esteticistas, ptometristas, editores, diplomáticos, jueces y fiscales. En la salud deben tener cuidado con los tumores cerebrales, enfermedades mentales, estrés, agotamiento, hiperactividad, problemas de la sangre, glándulas, corazón, y ojos. Necesitan del soporte de los demás elementos para no extinguirse. Son extremadamente orgullosos, impacientes, les falta control sobre sí mismos, inconstantes, y banales; se aburren con facilidad, son influenciables y volubles. </t>
  </si>
  <si>
    <t>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t>
  </si>
  <si>
    <t xml:space="preserve">Su trigrama es Li, significa fuego y su energía es yang, Esto los hace muy atractivos hacia los demás; gustan de los lujos y son idealistas y soñadores. Parecen castañuelas por el exceso de actividad que manifiestan; tienen agilidad mental, son vivaces y alegres, y muy variables emocionalmente. Sensitivos, sentimentales, impulsivos, depresivos, se apagan y extenúan con facilidad. Se manifiestan a través de sus emociones; son excitables y apasionados; tienen poca confianza y son vanidosos. Son inspirados cálidos como el sol: se comunican con facilidad y son líderes, excelentes actores, liberales suaves, orgullosos, superficiales, sofisticado, y criticones. Juzgan por las apariencias y son observadores de pequeños detalles superfluos. No son rencorosos; son cariñosos y explosivos. Pueden caer en la hiperactividad. El fuego es un elemento expansivo, por lo que pueden tener toda clase de contactos, se distinguen por derecho propio, impresionan e irradian magnetismo. Son personas francas, comunicativas, incapaces de mantener secretos; cariñosas osas y brillantes, carismáticas y poco leales. </t>
  </si>
  <si>
    <t>La gente nacida bajo signo de la rata para su encanto y atracción para el sexo opuesto. Ella es trabajadora y por lo tanto a menudo financieramente rica. Y son probables ser los perfeccionistas. Encolerizan y ama a la gente de la rata fácilmente chismear. Sus ambiciones son grandes, y son generalmente muy acertadas. El ratón es muy social y tiene muchos amigos a que él apoye de maneras abundantes. La familia es importante; un ratón es leal a su familia y luchará para ella si Ellos.necesario son los más compatibles con la gente llevada en los años del dragón, del mono, y del búfalo . Ante los grandes obstáculos, se diría que parecen arredrarse; no obstante, esa detención en la que se mantienen por espacio de unos minutos les sirve para planear el ataque más eficaz.</t>
  </si>
  <si>
    <t>En personalidad son una combinación brillante. Socialmente son afines y se convierten en una pareja muy atractiva y alegre.</t>
  </si>
  <si>
    <t>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t>
  </si>
  <si>
    <t>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t>
  </si>
  <si>
    <t>En el número energético son positivos, de iniciativa, creativos e impulsores de grandes proyectos y negocios.</t>
  </si>
  <si>
    <t>En el número energético ambos tienen la habilidad de destacar y asimilar sus triunfos, deben trabajar separados y no verse como competencia.</t>
  </si>
  <si>
    <t>En personalidad, deben evitar caer en competencias y discusiones, ambos son personas que destacan profesionalmente por sí mismas.</t>
  </si>
  <si>
    <t xml:space="preserve"> En carácter son firmes ambos números y convencidos de sus ideales, deben dialogar mucho para compartir en vez de competir. </t>
  </si>
  <si>
    <t>En número energético pueden formar unidos un equipo dinámico, creativo, competitivo y ganador, a menos que caigan en rivalidad y la competencia.</t>
  </si>
  <si>
    <t xml:space="preserve">En carácter ambos alimentan su propio ego y vanidad. Deben tratar de no dominarse ni competir por cuestiones de ego. pueden aprovechar sus habilidades de comunicación y creatividad para trabajar juntos en nuevas ideas. </t>
  </si>
  <si>
    <t xml:space="preserve">A veces ni ellos mismos se conocen en este terreno. Se hallan dotados para el circo, el teatro, el cine la televisión y la política, siempre que lleven al lado alguien que prevenga sus caprichos. En las cuestiones amorosas, los monos deben respetar a los tigres ante el riesgo de recibir un zarpazo mortal si se pasan con sus bromas. Los demás animales les aguantan bastante bien, en especial el dragón y la rata. </t>
  </si>
  <si>
    <t>FINALMENTE, ¿CÓMO ES LA COMPATIBILIDAD CON TU PAREJA?</t>
  </si>
  <si>
    <t>En el carácter pueden crear una constructiva relación de crecimiento y solidez.</t>
  </si>
  <si>
    <t>En carácter comparten la tenacidad, la voluntad, la perfección y el liderazgo. Pueden representar una combinación fuerte.</t>
  </si>
  <si>
    <t>En el número energético representan el poder y la fuerza así como la tenacidad y el liderazgo</t>
  </si>
  <si>
    <t>En personalidad son una combinación sociable y alegre, brillante y líder. Son una pareja que impone moda y los demás los imitan.</t>
  </si>
  <si>
    <t>En el carácter los dos son la dignidad y el respeto. Representan la integridad y la responsabilidad por los valores morales del ser humano.</t>
  </si>
  <si>
    <t>En personalidad ambos toman la vida con respeto y seriedad, mantienen una manera honesta de comunicación y fundamentan su relación en el respeto de los espacios del otro.</t>
  </si>
  <si>
    <t>En el número energético comparten el amor por la organización y la simplicidad, les gusta realizar cosas y planes con dignidad.</t>
  </si>
  <si>
    <t>Su trigrama es Kan y significa agua, representa al hijo de en medio y su origen es yin. Este tipo de personas, al ser representados en el 1 Ching como el hijo de en medio, son los capaces de resolver y mediar en los problemas y las discusiones. Su naturaleza es diplomática y tranquila; son personas de gran profundidad de pensamientos y acción. Tienen una fortaleza escondida y son sentimentales, buscan la esencia de todo y el aspecto profundo de las cosas y las circunstancias.  Como su elemento Agua, pueden ser tranquilos, pacíficos y relajados y al mismo tiempo vivaces, ágiles, turbulentos como las grandes olas del mar o las cascadas; son aventureros y exploradores; su espíritu tiende a ser libre, incontrolable, por lo que debe haber un contenedor o controlador para evitar que se conviertan en un caos y en personas indisciplinadas; sin embargo, si se les controla en exceso su reacción es volverse demasiado rígidos y disciplinados, sobre todo cuando su naturaleza es tranquila. Son sensibles, artísticos y filosóficos; valoran mucho su espacio y les molesta si se sienten invadidos.</t>
  </si>
  <si>
    <t xml:space="preserve">Pueden despertar grandes pasiones amorosas, pero raramente se entregarán a otra persona de una forma total y esclavizadora. Pueden unirse a la mayoría de los animales del Horóscopo Chino, pero jamás con la burlona serpiente, sobre todo los hombres, se dejarían engañar por tan "deslumbrante" belleza. </t>
  </si>
  <si>
    <t xml:space="preserve"> Resultan unos grandes hombres de negocio, y respetarán hasta el final la letra de un contrato. La Justicia les ofrece grandes oportunidades. En Asia se confunde al gato con el conejo y la liebre, de acuerdo con los países. Porque estos tres animales son considerados la representación de lo sobrenatural, del hechizo y de la brujería. </t>
  </si>
  <si>
    <t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t>
  </si>
  <si>
    <t>Fijémonos en las cualidades del mono fuera del Horóscopo Chino: es hábil, siempre se halla en continuo movimiento, es ingenioso y especialmente, resulta malvado. Cuando creemos que le hemos amaestrado, nos sorprende con una acción desagradable que puede echar por tierra todas nuestras esperanzas. Algo parecido sucede con las personas nacidas en estos años que los asiáticos llaman del mono. Por otra parte, son originales e ingeniosos. Poseen un gran sentido común y disponen de una importante carga de erotismo. Cuando les interesa son capaces de adoptar una actitud fría y desapasionada. Les gusta dirigir y mandar, y están muy capacita dos para desarrollar y dirigir empresas de gran envergadura. Su peor defecto es que se desaniman de una forma imprevisible ante las dificultades más tontas cuando antes habían salvado otras de indudable gravedad. Juguetones, detallistas y vanidosos, poseen una importante carga de maldad. Su personalidad, se parece a los cristales de colores de un calidoscopio en permanente rotación: nunca se sabrá que reacción van a mostrar en cualquier momento.</t>
  </si>
  <si>
    <t>Representa sensibilidad e impulsividad; deben comunicarse y platicar, ya que la pasión puede acabarse con facilidad; es una relación que funciona gracias al dinamismo y la actividad.</t>
  </si>
  <si>
    <t>La impulsividad de la madera puede destruir el romanticismo de la tierra. Se atraen con mucha fuerza, pero les cuesta trabajo comunicarse.</t>
  </si>
  <si>
    <t>Relación explosiva dinámica y pasional, es más importante el sexo que el romanticismo, es fundamental que expresen sus necesidades individuales para complementarse y apoyarse.</t>
  </si>
  <si>
    <t>Relación difícil y en algunos casos destructiva, el metal controla y es tajante con la madera, aspecto que puede dañar los sentimientos de ésta, haciéndole sentirse reprimida y sin apoyo. Deben trabajar mucho la comunicación y la flexibilidad, preocuparse y dejar en claro las necesidades personales.</t>
  </si>
  <si>
    <t>Combinación explosiva llena de pasión, orgullo, ego y vanidad. Deben de tener cuidado de no competir porque pueden destruirse y perder la pasión y el interés del uno en el otro. Deben buscar siempre la actividad para evitar el aburrimiento.</t>
  </si>
  <si>
    <t>Es una buena combinación el fuego posee la pasión y la diversión, mientras que la tierra aporta el romanticismo y la sensatez así como la alegría. Hay buena comunicación.</t>
  </si>
  <si>
    <t>Es una atracción muy erótica en la cual el fuego puede derretir el metal. Debe cuidarse la relación porque el fuego puede opacar y destruir al metal.</t>
  </si>
  <si>
    <t>Relación basada en el romanticismo y el aspecto hogareño, poca pasión gran compatibilidad física y sentimental ambos se preocupan por las necesidades del otro.</t>
  </si>
  <si>
    <t>Se manifiestan como personas que se adaptan y complementan la una a la otra. Sus diferentes puntos de vista e ideas sobre la vida y los sentimientos nutre la sexualidad y la pasión entre ellos.</t>
  </si>
  <si>
    <t>Deben aprender a ceder y compartir. Es una relación muy fuerte en lo que se refiere a la pasión y el sexo, sin embargo deben evitar el egoismo para apoyarse y nutrirse el uno al otro.</t>
  </si>
  <si>
    <t>ALGUNAS COSAS CON RELACIÓN A LAS COMPATIVILIDADES DE LAS PAREJAS.</t>
  </si>
  <si>
    <t>agua-madera</t>
  </si>
  <si>
    <t>agua-metal</t>
  </si>
  <si>
    <t>agua-fuego</t>
  </si>
  <si>
    <t>tierra-tierra</t>
  </si>
  <si>
    <t>tierra-madera</t>
  </si>
  <si>
    <t>tierra-metal</t>
  </si>
  <si>
    <t>tierra-fuego</t>
  </si>
  <si>
    <t>madera-madera</t>
  </si>
  <si>
    <t>madera-tierra</t>
  </si>
  <si>
    <t>madera-metal</t>
  </si>
  <si>
    <t>madera-fuego</t>
  </si>
  <si>
    <t>metal-metal</t>
  </si>
  <si>
    <t>metal-tierra</t>
  </si>
  <si>
    <t>metal-fuego</t>
  </si>
  <si>
    <t>fuego-fuego</t>
  </si>
  <si>
    <t>La compatibilidad de los elementos</t>
  </si>
  <si>
    <t>norte</t>
  </si>
  <si>
    <t>suroeste</t>
  </si>
  <si>
    <t>este</t>
  </si>
  <si>
    <t>sureste</t>
  </si>
  <si>
    <t>centro</t>
  </si>
  <si>
    <t>noroeste</t>
  </si>
  <si>
    <t>oeste</t>
  </si>
  <si>
    <t>noreste</t>
  </si>
  <si>
    <t>sur</t>
  </si>
  <si>
    <t>Viajar o moverse hacia el norte es sentirse más independiente, más libre, pacífico y objetivo. Es la dirección ideal si estás buscando privacidad, alejarte un rato del mundo, estar en plan romántico, escribir un libro, reestructura tu vida, hacer planes. Muy adecuada para trabajar en cuestiones artísticas y para recuperar tu salud; época de convalecencia, descanso y sanación.</t>
  </si>
  <si>
    <t>Viajar  y moverse hacia esta dirección es adecuado cuando buscamos volver más practico nuestro punto de vista, atraer a nuestra vida el compañerismo, la labor de equipo, la maternidad, desarrollar amistades o proyectos. También es adecuada para promover la estabilidad en nuestra vida y mejorar la comunicación y nuestra relación sentimental, acercamiento a nuestra pareja, consolidar la relación matrimonial, afianzar la relación materno pareja. También es apropiada para cambiar nuestro estilo de vida y mejorar la calidad de ésta.</t>
  </si>
  <si>
    <t>Esta energía despierta la ambición, promueve el crecimiento, la confianza y el entusiasmo. Te hace sentir más activo, creativo y ayuda a reconstruir y rediseñar tu vida. Ideal para iniciar un negocio, una expansión de la compañía o empezar un nuevo empleo.</t>
  </si>
  <si>
    <t>Estas personas superficialmente se ven confiables, simpáticas, claras, decididas, autoritarias y detallistas. Deben trabajar y aprender a ser responsables, a convertirse en líderes, a dirigir personas y a convivir y fluir en equipo. Se aprecian correctas, formales, intachables y elegantes. profesionalmente son organizados, profundas, analíticas, serias y muy responsables.</t>
  </si>
  <si>
    <t>Estas personas se ven amables, cariñosas, divertidas, independientes e irresponsables. Su vida se verá fortalecida si aprenden a se responsables, decididas, amables, compasivas y pacientes con los demás. Deben fortalecer su espiritualidad. Se perciben carismáticas, glamorosas, elegantes, estilizadas y suaves. En su aspecto de trabajo se manifiestan decididas en lo que quieren, logran lo que se proponen. Se motivan financieramente.</t>
  </si>
  <si>
    <t>Cuadrado Mágico de                               Lo Shu</t>
  </si>
  <si>
    <t>Isadora Duncan, Emily Bronte Marilyn Monroe, Robespierre, San Francisco de Asís, Ho Chi Min Luis XIV, Carlos Marx, Eisenhower, Bolívar, De Gaulle, Beethoven, Marco Polo, Tiberio César, Charles Lindberg, Alee Guinness, Olof Palme, Miguel Boyer Robería Flack, Jane Seymur, Isabel Preysler, Raúl Alfonsin, Javier Clemente, Jerry Lewis, Rudolf Nuriev KarI Malden, Guillermo Timoner, Duquesa de Alba, Octavio Paz, Marguerite Duras, Isabel II de Inglaterra, Stevie Wonder, Lili Palmer, María Dolores Pradera, Klaus Kinski, Reina Sofía de España.</t>
  </si>
  <si>
    <t>Fidel Castro, la Reina Victoria, Stalin, Catalina de Medeci, Martin Luther King, Confucio, María Antonieta, Eva Perón, Pirandello, Albert Einstein, Orson Welles, Arthur Miller, Stendhal, George Simenon, Cary Grant, Jean Moreau, Sidney Poitier, Harry Belafonte, James Caan, Francis Ford Coppola, Gary Kasparov, Claudia Lardmale, Ian Gibson, Anthony Quinn, Sydney Rome, Anatoli Karpov, Bob Hope, Gina Lollobrigida, Janet Leigh, Peter Falk, Günter Grass, Eli Wallach, Frank Sinatra.</t>
  </si>
  <si>
    <t>Al mismo tiempo resultan bastante independientes de hecho son las que necesitan con mayor intensidad actuar con completa autonomía. No acostumbran a prestar atención a los consejos ajenos debido a que prefieren actuar por su cuenta. En el caso de que alguien se obstine en convencerles "pasarán" olímpicamente. Disponen de un fuerte temperamento y llegan a chocar apasionadamente en sus relaciones sociales y laborales. Lo bueno es que olvidan con facilidad las ofensas al desconocer el rencor. Resultan impacientes y, en ocasiones dicen cosas de las que luego se arrepienten. Disponen de unas dosis importantes de tranquilidad. Se hallan bien dotados para la política, las finanzas y el trabajo en general. Sin embargo, se comportan de una forma imprevisible y sus cambios son casi permanentes. En sus relaciones con el sexo opuesto muestran debilidad.</t>
  </si>
  <si>
    <t>Combinación Negativa</t>
  </si>
  <si>
    <r>
      <t xml:space="preserve">Ratas Impetuosas pero irresponsables Aunque buenas para improvisar y llamar la atención de todo el mundo. Buenos actores y artistas. Caballos tendientes a sufrir déficit de atención y neurosis, pero excelentes actores y videntes. </t>
    </r>
    <r>
      <rPr>
        <b/>
        <sz val="10"/>
        <rFont val="Arial"/>
        <family val="2"/>
      </rPr>
      <t>Sufre mucho de neurosis.</t>
    </r>
  </si>
  <si>
    <t>INCOMPATIBILIDADES</t>
  </si>
  <si>
    <r>
      <t xml:space="preserve">Tigres juguetones y alegres. Dados a los placeres pero irresponsables y con tendencia a retar a las autoridades y buscar escapes ilegales. Monos idealistas fieros y responsables, muchas veces más ambiciosos de lo que la sociedad puede soportar. Maestros del engaño. </t>
    </r>
    <r>
      <rPr>
        <b/>
        <sz val="10"/>
        <rFont val="Arial"/>
        <family val="2"/>
      </rPr>
      <t>Irresponsables y reyes del engaño.</t>
    </r>
  </si>
  <si>
    <r>
      <t xml:space="preserve">Conejos obstinados y de mal humor, pueden llegar a ser autocríticos hasta el exceso pero muy disciplinados. Gallos relajados menos agresivos con la familia y más diplomáticos, pero fuerte tendencia a mantenerse solteros y rodeados de gatos. </t>
    </r>
    <r>
      <rPr>
        <b/>
        <sz val="10"/>
        <rFont val="Arial"/>
        <family val="2"/>
      </rPr>
      <t>Disciplina contra ligereza y mimo.</t>
    </r>
  </si>
  <si>
    <r>
      <t>Búfalos sensibles y excelentes amantes más propensos a escuchar antes de actuar, pero a veces flojos y poco ambiciosos. Cabras responsables y disciplinadas, más dadas a trabajar arduamente pero violentas, pero pueden reaccionar a golpes.</t>
    </r>
    <r>
      <rPr>
        <b/>
        <sz val="10"/>
        <rFont val="Arial"/>
        <family val="2"/>
      </rPr>
      <t xml:space="preserve"> Distanciamiento y choques.</t>
    </r>
  </si>
  <si>
    <t>Son personas que se caracterizan por su pensamiento creativo, son originales, locos, soñadores e independientes, se comunican de las formas más inesperadas, son detallistas, persuasivos, persistentes, suaves, jamás se enfrentan a los demás o los confrontan con agresión. En sus sentimientos y emociones son personas muy románticas, sensibles y soñadoras.</t>
  </si>
  <si>
    <t>El carácter de estas personas es extremistas, sin medias tintas, blanco o negro, funcionales, prácticos, decididos, claros. Se comunican de manera clara, firme, fuerte y convincente. En sus emociones son volubles y siempre buscan ser el centro de atención, necesitan del reconocimiento público.</t>
  </si>
  <si>
    <t>Estas personas se caracterizan por tener ideas y pensamientos organizados, decisivos e intuitivos. Cuando se comunican se manifiestan honestamente, con mucha cautela y respeto al hablar. Sus emociones, son muy controladas y retraidas. Dificilmente dicien lo que sienten y controlan sus sentimientos. A veces dan la apariencia de insensibilidad y dureza</t>
  </si>
  <si>
    <t>A estas personas les caracteriza el tener metas e ideas muy firmes y claras; estilizadas, se comunican afectuosamente, son divertidas, entretenidas y juguetonas. Se divierten con el amor, se ilusionan con gran facilidad, por lo que se deprimen y desilucionan constantemente. Esperan demasiado de los demás en su aspecto emocional.</t>
  </si>
  <si>
    <t>A estas personas se les caracteriza porque su manera de pensar y actuar es competitiva, impulsiva. Tienen ideas, rápidas e inteligentes. Son personas listas y cuando se comunican lo hacen claramente, son convincentes y decididas. A veces son "necias". En sus emociones siempre están alertas y pendientes de lo que sucede a su alrededor. Son frágiles y variables. Se manifiestan inestables para protegerse.</t>
  </si>
  <si>
    <t xml:space="preserve">Su trigrama es Chien, que significa cielo, su energía es yang y representa al padre. Es extremadamente fuerte, tiene la fuerza del cielo y toda su energía yang, lo que le da cualidades de liderazgo. Dominan y conquistan. Tienen grandes ideales, son ambiciosos y ególatras. Muy activos, odian perder, son muy críticos consigo mismos y materialistas, el exceso los puede llevar a la necedad. Muy detallistas y organizados, se desesperan con facilidad cuando las cosas no salen como ellos esperan. Son autoritarios, duros, inflexibles, moralistas, directos; buscan la nobleza, la simplicidad y el glamour. Son racionales, cuidadosos, dedicados, rígidos y perfeccionistas; no soportan las críticas. Resaltan los valores familiares y admiran y profesan la lealtad. Son muy trabajadores y tenaces; siempre buscan el liderazgo, incluso en sus relaciones sentimentales, en las que buscan durabilidad y profundidad. Son muy exigentes consigo mismos en sus sentimientos y, llevados al exceso, pueden ser machistas o excesivamente dominantes y duros. 
</t>
  </si>
  <si>
    <t>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t>
  </si>
  <si>
    <t>NOMBRE</t>
  </si>
  <si>
    <t>Fecha Nacimiento</t>
  </si>
  <si>
    <t>Día</t>
  </si>
  <si>
    <t>Mes</t>
  </si>
  <si>
    <t>Año</t>
  </si>
  <si>
    <t>Hora</t>
  </si>
  <si>
    <t>ESTE NUMERO  ES TU PRIMERA ESTRELLA Y REPRESENTA TU NATURALEZA Y ESENCIA COMO SER HUMANO</t>
  </si>
  <si>
    <t>ESTE NUMERO  ES TU SEGUNDA ESTRELLA Y REPRESENTA TU CARÁCTER COMO SER HUMANO</t>
  </si>
  <si>
    <t>ESTE NUMERO  ES TU TERCER ESTRELLA Y REPRESENTA TU MISIÓN EN LA VIDA Y LOS ASPECTOS QUE DEBES TRABAJAR</t>
  </si>
  <si>
    <t>SE</t>
  </si>
  <si>
    <t>SSE</t>
  </si>
  <si>
    <t>S</t>
  </si>
  <si>
    <t>SSW</t>
  </si>
  <si>
    <t>SW</t>
  </si>
  <si>
    <t>SEE</t>
  </si>
  <si>
    <t>SWW</t>
  </si>
  <si>
    <t>E</t>
  </si>
  <si>
    <t>W</t>
  </si>
  <si>
    <t>NEE</t>
  </si>
  <si>
    <t>NWW</t>
  </si>
  <si>
    <t>NE</t>
  </si>
  <si>
    <t>NNE</t>
  </si>
  <si>
    <t>N</t>
  </si>
  <si>
    <t>NNW</t>
  </si>
  <si>
    <t>NW</t>
  </si>
  <si>
    <t>2Tierra</t>
  </si>
  <si>
    <t>3Madera</t>
  </si>
  <si>
    <t>4Madera</t>
  </si>
  <si>
    <t>5Tierra Media</t>
  </si>
  <si>
    <t>6Viento</t>
  </si>
  <si>
    <t>7Agua</t>
  </si>
  <si>
    <t>8Montaña</t>
  </si>
  <si>
    <t>9Fuego</t>
  </si>
  <si>
    <t xml:space="preserve">Su trigrama es Kun y su energía es yin; este trigrama representa a la madre, es receptivo y maternal. Suave como la arena, con un fuerte servicio de deseo y cuidado. No tienden a ser líderes, pero son excelentes como soporte de cualquier persona. Son tranquilos, pacientes, compasivos y amorosos, tienen una gran actitud de servicio y cooperación. Extremadamente sociables, buscan formar parte de grupos o personas que los guíen para no sentirse solos o perdidos. También buscan la estabilidad y el realismo y son muy detallistas, al punto de desesperar a quienes los rodean. Son hogareños y sobre protectores: Maestros de la diplomacia y las buenas relaciones, son excelentes servidores de la humanidad y el trabajo social. También necesitan tiempo para nutrirse a sí mismos; su gran capacidad de dar a los demás los puede desgastar. Su naturaleza es convencional y conservadora, amable y placentera, son un poco indecisos y obsesivos con detalles. Su naturaleza es convencional y conservadora, amable y placentera, son un poco indecisos y obsesivos con detalles. Excelentes Doctores, trabajadores </t>
  </si>
  <si>
    <t>Su trigrama es Chen y significa trueno, representa el hermano mayor y su energía es yang. Este trigrama simboliza el crecimiento y acción, así es el trueno, fuerte decidido, rápido, de movimientos drásticos, espontaneidad de actuar antes de pensar. Son personas impulsivas, enérgicas, decididas, ruidosas, inquietas; constantemente cometen errores, por su impulsividad. Tienen mucha vitalidad y energía son optimistas y posesivos, no terminan lo que comienzan y dejan la responsabilidad en otros; son cambiantes e inestables,abiertos  y honestos, directos e impositivos, al hablar vigorosos físicamente y demasiado francos con sus familiares y amigos. Generalmente son atléticos y de cuerpos fuertes y altos, Son muy creativos, son innovadores e inventores, soñadores precoces y consentidos, caprichosos, viríles y simpáticos. Se aburren con facilidad, no se caracterizan por ser maduros y objetivos. Son excelentes creativos, deportistas, constructores, ingenieros, músicos, cirujanos, oradores.</t>
  </si>
  <si>
    <t>ESTA ES TU NATURALEZA Y ESENCIA COMO SER HUMANO</t>
  </si>
  <si>
    <t>ESTE ES TU CARÁCTER COMO SER HUMANO</t>
  </si>
  <si>
    <t>ESTA ES TU MISIÓN EN LA VIDA Y LOS ASPECTOS QUE DEBES TRABAJAR</t>
  </si>
  <si>
    <t xml:space="preserve">Lo primordial es que son enérgicos y disfrutan de una excelente salud en la mayor parte de su existencia. En los países asiáticos se cree que a los nativos de este signo les acompañan la prosperidad y una larga vida. Tal vez por el hecho de que suelen dedicar sus energías a objetivos idealistas y se hallan capacitados para hacer frente a los trabajos más complicados, en todos los cuales obtendrán el éxito. Pero tienden a excitarse en demasía y a hablar más de lo aconsejable en el mundo social. En ocasiones se preocupan obsesivamente por motivos absurdos y resultan exigentes. Son detallistas, inteligentes, tenaces, complacientes y generosos. Las mejores carreras para ellos tienen que hallarse relacionadas con el arte. la religión, la milicia, la medicina y la política. </t>
  </si>
  <si>
    <t xml:space="preserve">Prefieren vivir de su ingenio que del trabajo práctico. Lo malo es que el dinero les quema en las manos: sin embargo, no lo derrochan. Sienten una predisposición especial a lo intelectual, son sentimentales y muy generosas con las personas que aman. Son compatibles con casi todos los animales del Horóscopo Chino, excepto el caballo —sólo afecta a los hombres que intenten unirse al caballo mujer—. </t>
  </si>
  <si>
    <t xml:space="preserve">Sus oficios y carreras preferidas son los negocios, la contrata de todo tipo y la diplomacia. Dado que son inteligentes y hábiles con las manos podrían llegar a ser cirujanos. También sirven para viajar, siempre que su salud no presente altibajos. </t>
  </si>
  <si>
    <t>Resultan poco habladores porque prefieren meditar sus opiniones y no precipitarse en las respuestas aunque se les apremie. Llegan al éxito sin tener que desarrollar un gran esfuerzo, sin que importe el objetivo o la materia que estén tocando. Tardan en enfurecerse: sin embargo, cuando esto sucede, estallan violentamente. Son observadores y tienden a buscar la soledad. Los ideales pueden arrastrarles hasta el fanatismo. La pasión que sienten por la unidad y el sentido clásico de la familia es en ellos una cuestión primordial. En los conflictos de tipo laboral no "aguantan un pelo", y hasta llegan a resultar altamente peligrosos. Detestan cualquier forma de modernismo, y mucho más si aparece en su hogar. Si algo así ocurriera habría algo más que palabras por parte de los búfalo es...Los búfalo es son personas cordiales y pacientes, que corren el peligro de ser consideradas algo excéntricas.</t>
  </si>
  <si>
    <t>La gente nacida en el año del conejo es articulada, talentosa, y ambiciosa. Ella es virtuosa, reservada, y tiene gusto excelente. Admiran, confiada en, y es a menudo financieramente afortunada a la gente del conejo. Ella está encariñada con chisme pero es discreta y generalmente buena. La gente del conejo pierde raramente su genio. El es listo en el negocio y siendo concienzudo, nunca retírese de un contrato. Ella haría a buenos jugadores para ella tiene el regalo uncanny de elegir la cosa derecha. Sin embargo, juegan raramente, pues son conservadores y sabios. Son la más compatible con ésa nacida en los años de las ovejas, del Jabalí, y del perro. Los nacidos en el año del gato hablan con elocuencia y disponen de las palabras para convencer a los demás con facilidad sin que ello vaya en contra de</t>
  </si>
  <si>
    <t>Personajes Jabalí</t>
  </si>
  <si>
    <t>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t>
  </si>
  <si>
    <t>En personalidad, ambos son suaves y agradables; evaden las confrontaciones y buscan la armonía.</t>
  </si>
  <si>
    <t>En el número energético, ambos aprecian sus cualidades, las destacan y se inspiran para cristalizar sus deseos.</t>
  </si>
  <si>
    <t>En personalidad, ambos se inspiran y se apoyan con su característica actitud de madurez hacia la vida, son respetuosos y admiradores de los valores propios de cada uno.</t>
  </si>
  <si>
    <t>En número energético, ambos comparten la sensatez y la objetividad para lograr de manera ordenada y disciplinada sus planes e ideales.</t>
  </si>
  <si>
    <t>En carácter ambos son suaves y se apoyan mutuamente, prefieren dialogar y evaden  los conflictos y discusiones.</t>
  </si>
  <si>
    <t>En personalidad comparten su naturaleza ambiciosa y activa. Disfrutan de la aventura y la acción.</t>
  </si>
  <si>
    <t>En número energético ambos disfrutan de su entusiasmo y positivismo. Se apoyan para lograr sus metas e idean los planes más creativos y locos.</t>
  </si>
  <si>
    <t xml:space="preserve">Son excelentes árbitros y mediadores, artistas y abogados, escritores, poetas, compositores, músicos, filósofos e incluso terapeutas. Tienen Ia cualidad interna de buscar el balance constante en los argumentos y las situaciones. Todo tipo de actividad que involucre el manejo de líquidos es favorable para estas personas. Por su profunda capacidad de análisis y pensamiento, tienden a ser personas calladas y a veces aisladas; tienen mentalidades que trascienden el tiempo, relajadas y receptivas; son personas espirituales, creativas y universales. Su salud esta ligada a todo lo que Se refiere a líquidos en el cuerpo humano: riñones, órganos sexuales, vejiga, huesos y sistema nervioso. Son personas flexibles, sencillas, adaptables, receptivas, enigmáticas, poco románticas pero con mucha fuerza sexual y apasionados. La sexualidad es un aspecto muy importante para ellos, ya que es un rnedio de aprendizaje de si mismos y su pasión puede llegar a ser muy fuerte. Buscan conjuntar varias formas de placer sexual, por lo que suelen ser extremadamente posesivos. Generalmente tienen mirada profunda y </t>
  </si>
  <si>
    <t>EL KI DE LAS NUEVE ESTRELLAS</t>
  </si>
  <si>
    <t>Signo</t>
  </si>
  <si>
    <t>De</t>
  </si>
  <si>
    <t>Hasta</t>
  </si>
  <si>
    <t>Elemento</t>
  </si>
  <si>
    <t>Dia</t>
  </si>
  <si>
    <t>Rata</t>
  </si>
  <si>
    <t>Enero</t>
  </si>
  <si>
    <t>Metal</t>
  </si>
  <si>
    <t>Febrero</t>
  </si>
  <si>
    <t>Tigre</t>
  </si>
  <si>
    <t>Agua</t>
  </si>
  <si>
    <t>Conejo</t>
  </si>
  <si>
    <t>Madera</t>
  </si>
  <si>
    <t>Serpiente</t>
  </si>
  <si>
    <t>Caballo</t>
  </si>
  <si>
    <t>Fuego</t>
  </si>
  <si>
    <t>Mono</t>
  </si>
  <si>
    <t>Tierra</t>
  </si>
  <si>
    <t>Gallo</t>
  </si>
  <si>
    <t>Perro</t>
  </si>
  <si>
    <t>Dragón</t>
  </si>
  <si>
    <t>Personas de apariencia tranquila pero dura y fuerte, lucen organizadas, detallistas y analíticas: Deben aprende a simplificar las cosas y a no ser obsesivas, cultivar la introspección y confiar en su intuición. Su imagen es fuerte, directa, impositiva, dominante y de caracter fuerte. En el trabajo son alegres, perseverantes y muy competitivas.</t>
  </si>
  <si>
    <t>Personas que se ven atractivas, elegantes y ostentosas. Su camino se fortalecerá si aprenden a poner los pies sobre la tierra, a ser profundas, a terminar lo que comienzan, a ser compasivas, a compartir, amar, guiar y enseñar a los demás. La primera impresión que dan es de ser sociables, inteligentes, brillantes, arrogantes, distinguidas y notables. Profesionalmente son emotivas, sentimentales, vicerales; cuidan su reputación e imagen pública.</t>
  </si>
  <si>
    <r>
      <t>1</t>
    </r>
    <r>
      <rPr>
        <b/>
        <sz val="48"/>
        <rFont val="Wingdings"/>
        <charset val="2"/>
      </rPr>
      <t>«</t>
    </r>
  </si>
  <si>
    <r>
      <t>2</t>
    </r>
    <r>
      <rPr>
        <b/>
        <sz val="48"/>
        <rFont val="Wingdings"/>
        <charset val="2"/>
      </rPr>
      <t>«</t>
    </r>
  </si>
  <si>
    <r>
      <t>3</t>
    </r>
    <r>
      <rPr>
        <b/>
        <sz val="48"/>
        <rFont val="Wingdings"/>
        <charset val="2"/>
      </rPr>
      <t>«</t>
    </r>
  </si>
  <si>
    <t xml:space="preserve">1Agua </t>
  </si>
  <si>
    <t>En personalidad son potencialmente armoniosos, si ambos logran dedicarse a los aspectos que para cada uno son importantes.</t>
  </si>
  <si>
    <t>En personalidad el éxito radica en que comparten su amor por el desarrollo profesional y el éxito económico.</t>
  </si>
  <si>
    <t>En carácter representan una combinación dura, directa, clara. No les gusta disfrazar la verdad y tienen por emblema la tenacidad.</t>
  </si>
  <si>
    <t>En el número energético son una buena combinación de éxito profesional y logros energéticos.</t>
  </si>
  <si>
    <t>En carácter son grandes impulsores de los anhelos y logros que comparten y obtienen.</t>
  </si>
  <si>
    <t>En el número energético, disfrutan de sus gustos, de buenas reuniones, de la elegancia y del glamour.</t>
  </si>
  <si>
    <t>En personalidad representan y simbolizan prosperidad. Son una poderosa combinación capaz de construir grandes y sólidas empresas.</t>
  </si>
  <si>
    <t>En el número energético son una pareja jovial que disfruta de la vida hogareña y las buenas reuniones.</t>
  </si>
  <si>
    <t>George Sand, Shakespeare, Tolstoi, Julio Verne, Daniel Defoe, Charlotte Bronte, Antoine de Saint Exupery, Daudet, Louis Amstrong, Mozart, Maurice Chevalier, Loretta Young, Richard Nixon, Oanny Kaye, Lola Flores, Telly Savalas, Natasha Kinski, Paul Newman, Vanessa Redgrave, Jack Lemmon, Robert AItman, Niki Lauda, Ivan LendI, Antonio Mercero, Mario Vargas Llosa, Marión Brando, Doris Day, Glenda Jackson, Charles Aznavour, Virna Lisi, Gene Kelly, Richard Gere, Laureen Bacall, Marcello Mastroianni, Jimmy Cárter, Antonio Gala, Charlton Heston.</t>
  </si>
  <si>
    <t>Adolf Hitler, Emiliano Zapata, Jerónimo, Clemenceau, Napoleón, Lafayette, Nehru, Luis XIII, Ricardo Corazón de León, Marquesa de Pompadour, Van Gogh, Jean Cocteau, Rubens, Charlie Chaplin, Dante, Richard Burton, Juan Sebastián Bach, Jane Wyman, Juan Carlos I, Valéry Giscard d\'Estaing, Juliette Greco, Warren Beatty, Rod Steiger, Ayatola Jomeini, Emperador Hiro-Hito, Stewart Granger, Peter Cushing, Tony Curtis, Meryl Streep, Jesús Hermida, Cari Lewis, Dustin Hoffman, Robert Redtord, Cfiff Robertson, Bruce Springsteen, José Sacristán, Stanlev Kramer, Truman Capote, Margaret Thatcher, Melina Mercoun, Burt Lancaster, Redy Lamarr, Nadia Comaneci, Carmen Martín Gaite, Willy Brandt, Jane Fonda, Marlene Dietrich.</t>
  </si>
  <si>
    <t>Simbolo de su Horóscopo</t>
  </si>
  <si>
    <t>En personalidad ambos son hogareños y disfrutan de la buena comida y del ambiente de casa. Comparten gustos e intereses.</t>
  </si>
  <si>
    <t>agua</t>
  </si>
  <si>
    <t>tierra</t>
  </si>
  <si>
    <t>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t>
  </si>
  <si>
    <t>madera</t>
  </si>
  <si>
    <t>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t>
  </si>
  <si>
    <t>metal</t>
  </si>
  <si>
    <t>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t>
  </si>
  <si>
    <t>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t>
  </si>
  <si>
    <t>fuego</t>
  </si>
  <si>
    <t>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t>
  </si>
  <si>
    <t>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t>
  </si>
  <si>
    <t>su idea de no querer herir los sentimientos ajenos Resulta casi imposible que pierdan el control de sí mismos y son ambiciosos y muy precavidos. Sus vidas acostumbran a ser domésticas placenteras y refinadas, Sienten una afición a acumulan conocimientos, pero se muestran excesivamente superficiales a la hora de asimilarlos. Bastantes veces caen en la pedantería, sin que se den cuenta de ello. Pueden llegar a apasionarse peligrosamente por el juego, aunque saben retirarse cuando la situación bordea al drama. Su peor rival es la melancolía. Les atrae la gente, lucen en las asambleas y "las gozan" en compañía de muchas amistades. Pero son superficiales. Aguantan lo indecible antes de disgustarse, porque su naturaleza les ha hecho pacíficos. Su meta es vivir tranquilamente, sin altibajos de ninguna clase Algo que no les sucede a las mujeres gato cuando se ponen tercas, claro que saben como transformar esta aparente debilidad en un arma de seducción.</t>
  </si>
  <si>
    <t>La gente nacida en el año del dragón es sana, enérgia, excitable, templado, y obstinado. Ella es también honesta, sensible, valiente, y ella inspira confianza y confía en. La gente del dragón es la más excéntrica de cualesquiera en el zodiaco del este. Ella ni pide prestado el dinero ni hace discursos floridos, pero ella tiende para ser suave-hearted que a veces da a otros una ventaja sobre ellos. El es compatible con las ratas, las serpientes, los monos, y los gallos. Los seres humanos nacidos bajo la influencia del año dragón son honestos, cuentan con una buena provisión de coraje y pueden considerarse unos héroes. Pero no todo lo que brilla es oro.  Para alcanzar esa categoría tienen que limar todos los defectos que ya iremos enumerando.</t>
  </si>
  <si>
    <t>Es una relación basada en la atracción, el fuelgo es demasiado rápidoy acelerado para la profundidad del agua. Debe trabajarse la comunicación y establecer reglas para que funcione.</t>
  </si>
  <si>
    <t>Esta relación carece de pasión. sin embargo puede estar llena de ternura si la tierra hace a un lado su egoismo y piensa en las necesidades de agua</t>
  </si>
  <si>
    <t>Es una buena combinación de apoyo y entendimiento, capaces de expresar en su sexualidad sus más profundos sentimientos, sin arranques de pasión y sin hablar.</t>
  </si>
  <si>
    <t>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t>
  </si>
  <si>
    <t>DÍAS</t>
  </si>
  <si>
    <t>La gente nacida en el año del mono son los genios erráticos del ciclo. Son listas, expertas, y flexibles, ellas tienen notable inventiva y originalidad y puede solucionar los problemas más difíciles con facilidad. Hay pocos campos en los cuales la gente del mono no sea acertada pero tienen el hábito desconcertante de ser demasiado conforme. Esta gente desea ahora hacer cosas, y si no pueden conseguir comenzarlas inmediatamente, se desalientan y dejan a veces sus proyectos. Aunque son buenos en tomar decisiones, dudan y tienden a mirar abajo en otras. Tienen sentido común, y la gente del mono tienen un deseo profundo para el conocimiento y tienen memoria excelente. La gente del mono se enamora fácilmente y se enoja explosivamente pero su cólera se refresca rápidamente. Y son más compatibles con el dragón y la rata.</t>
  </si>
  <si>
    <t>Es una dirección recomendada cuando quieres controlar tu vida, tus proyectos: Si sientes que necesitas establecer reglas y parámetros, el noreste favorecerá el establecerte, el analizar con lógica y frialdad las situaciones. Es una energía de consolidación, honorabilidad y respeto.</t>
  </si>
  <si>
    <t>Es una dirección de motivación, estructuración consolidación planeación, aclarar ideas. Sirve para dar giros y cambios a nuestra vida, ideal para los romances pasajeros.</t>
  </si>
  <si>
    <t>Esta dirección atraerá fiesta, alegría, reconocimiento, pasión, emoción y diversión a nuestra vida. Es ideal para recibir reconocimiento y premios, expresarte y brillar socialmente. Muy adecuada para la actuación. Sirve para reforzar el aspecto social.</t>
  </si>
  <si>
    <t>Es la energía que te permite disfrutar de la vida, el glamour, el romance, el matrimonio, la elegancia, la distinción y la tranquilidad económica. Es muy recomendable cuando deseas componer o arreglar tu situación financiera.</t>
  </si>
  <si>
    <t>Evita viajar, no salir, no desplazarse, es momento de hibernar.</t>
  </si>
  <si>
    <t>Dirección de tu número de Personalidad</t>
  </si>
  <si>
    <t>En personalidad son creativos y soñadores. Ambos disfrutan compartir sus sueños, planes e ideas. Disfrutan de las fiestas y la diversión.</t>
  </si>
  <si>
    <t>En carácter disfrutan de la compañía mutua, de su franqueza, sensación de libertad y frescura, así como compartir el sentido del humor.</t>
  </si>
  <si>
    <t>En el número energético, forman una combinación amable, llevan una relación de cooperación, franqueza y mutuo apoyo.</t>
  </si>
  <si>
    <t xml:space="preserve">soñadora, con cabras a veces oscuras, y deben cuidarse mucho de los resfríos. Deben dormir y descansar mucho y mantener su estómago caliente, cuidar mucho sus órganos sexuales, así como la vejiga y los riñones. En el aspecto negativo, generalmente son personas inseguras, se preocupan en exceso por las cosas y las situaciones, se angustian por evitar y causar problemas; son evasivas, no demuestran lo que sienten. Abiertos y honestos, directos e impositivos al hablar, vigorosos físicamente y demasiado francos con sus familiares y amigos. Generalmente son atléticos y de cuerpos fuertes y altos. Son muy creativos, son innovadores e inventores, soñadores, precoces y consentidos, caprichosos, viriles simpáticos. Se aburren con facilidad, no se caracterizan por ser muy maduros y objetivos. Son excelentes creativos, deportistas, constructores, ingenieros, músicos, cirujanos, oradores. En la salud deben tener cuidado con las úlceras, tumores, el hígado, la digestión, las fobias, el exceso de estrés, problemas visuales y del cuello. En el aspecto sentimental son muy vanidosos y se preocupan </t>
  </si>
  <si>
    <t>En personalidad unen fuerzas y pueden ser perseverantes para lograr que  los proyectos y la relación salgan adelante.</t>
  </si>
  <si>
    <t>NO SE PUEDE VALUAR LA RELACIÓN DE PAREJA PORQUE NO SE DIO LA INFORMACIÓN DE LA MISMA.</t>
  </si>
  <si>
    <r>
      <t xml:space="preserve">Dragones inteligentes al extremo, pero propenso a tener hijos en la adolescencia. Muy desordenados. Perros más espirituales, menos obsesionados y curiosos, pero pueden llegar a ser irresponsables en la familia. Independientes y elitistas. </t>
    </r>
    <r>
      <rPr>
        <b/>
        <sz val="10"/>
        <rFont val="Arial"/>
        <family val="2"/>
      </rPr>
      <t>Sumamente desordenados e irresponsables</t>
    </r>
  </si>
  <si>
    <t>Combinación</t>
  </si>
  <si>
    <t>Ki de la Pareja</t>
  </si>
  <si>
    <r>
      <t>1</t>
    </r>
    <r>
      <rPr>
        <b/>
        <sz val="10"/>
        <rFont val="Wingdings"/>
        <charset val="2"/>
      </rPr>
      <t>«</t>
    </r>
  </si>
  <si>
    <r>
      <t>2</t>
    </r>
    <r>
      <rPr>
        <b/>
        <sz val="10"/>
        <rFont val="Wingdings"/>
        <charset val="2"/>
      </rPr>
      <t>«</t>
    </r>
  </si>
  <si>
    <r>
      <t>3</t>
    </r>
    <r>
      <rPr>
        <b/>
        <sz val="10"/>
        <rFont val="Wingdings"/>
        <charset val="2"/>
      </rPr>
      <t>«</t>
    </r>
  </si>
  <si>
    <t>CUADRADO MÁGICO DE LO SHU</t>
  </si>
  <si>
    <t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t>
  </si>
  <si>
    <t xml:space="preserve">Su trigrama es Sun y significa viento; su energía es yin y representa a la hermana mayor. Su aspecto yin, a diferencia del 3Madera, les da un aspecto estable, tranquilo, suave. Su naturaleza es tan suave que necesitan el soporte de sus raíces de madera. En su aspecto negativo, el exceso de aire los puede convertir en un huracán destructivo e incontrolable cuando se alteran. Son muy sensibles, confiables, seguros y prácticos. Su sentido común es característico, así como su sensatez y sensibilidad hacia los demás. Son excelentes consejeros, pero muy influenciables dada su naturaleza volátil; son crédulos y confiados, manipuladores y confidentes; excelentes oradores, políticos, líderes, planificadores, artistas, inventores y consejeros. Son personas decididas, individualistas, claras y muy estructuradas. Favorables en cuestiones de transportación, comunicación, dirección, guía, publicidad, agencias de viajes, fabricantes. 
</t>
  </si>
  <si>
    <t xml:space="preserve">Dejan las cosas para el último momento y confían en su sensatez, buena suerte y buen juicio. En el amor son idealistas, soñadores e ingenuos, muy atractivos para el sexo opuesto; son idealistas con sus parejas, cooperativos y luchan por sacar a flote una relación. En la salud deben tener cuidado de no caer en exceso de actividad; deben cuidar sus intestinos, la vesícula, el tejido conjuntivo y el hígado. Son excelentes publirrelacionistas, obedientes y muy atractivos. Se caracterizan por su mirada cautivadora. Respecto de sus rasgos negativos, son impulsivos y volubles, de emociones turbulentas, confusos, ideas no muy claras, e inescrupulosos. </t>
  </si>
  <si>
    <t xml:space="preserve">Son audaces y valientes, y piensan profundamente ante de emprender cualquier cosa. Disponen de una mente que supone toda una gama de colores. Su sensibilidad y ambición les lleva a comportarse en ocasiones con suspicacia y un cierto egoísmo. Son unos líderes natos a pesar de que suelen hacer caso a confidencias demasiado peligrosas. Son los primeros en lamentarse cuando realizan negocios, intervienen en contiendas y hasta en el amor y sexo. Procuran hallarse al margen en las cuestiones que no les afectan. Materialmente es imposible resistirles por su magnífico carácter y una autoridad natural. Los demás tienden a respetarlos automáticamente. Desean ser obedecidos, pero les desagrada obedecer. Se les considera obstinados, algo cabezotas y amigos de las discusiones Les atrae la cocina o cumplir el papel de ejecutivos. En especial buscan los trabajos más arriesgados. No les llama la atención el dinero ya que prefieren la acción. </t>
  </si>
  <si>
    <t>La gente nacida en el año del perro posee los mejores rasgos de la naturaleza humana. Ella tiene un sentido profundo de la lealtad, es honesta, e inspira la confianza de la gente porque ella sabe guardar secretos. Pero la gente del perro es algo egoísta, terrible obstinada, y excéntrico. Ella cuida poco para la abundancia, con todo se parece de alguna manera siempre tener dinero. Ella puede ser fría emocionalmente y a veces distante en los partidos. Pueden encontrar la avería con muchas cosas y se observan para sus lengüetas agudas. La gente del perro hace a buenos líderes. Ella es compatible con ésa nacida en los años del caballo, del tigre, y del conejo.</t>
  </si>
  <si>
    <t>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t>
  </si>
  <si>
    <t>En la salud deben de tener cuidado con las úlceras, tumores, el hígado, la digestión las fobias, el exceso de estrés, problemas visuales y del cuello. En el aspecto sentimental son muy vanidosos y se preocupan excesivamente por su aspecto físico, les importa mucho el tacto y les gusta que los toquen, son amantes muy versátiles e intensos, son juguetones y no saben reprimir sus emociones. Son generosos e independientes, joviales y parlanchines. Sin embargo tambien pueden ser ambiciosos, independientes, violentos y agresivos, impredecibles, volubles y demasiado francos.</t>
  </si>
  <si>
    <t xml:space="preserve"> </t>
  </si>
  <si>
    <t>excesivamente por su aspecto físico, les importa mucho el tacto y les gusta que los toquen, son amantes muy versátiles e intensos, son juguetones y no saben reprimir sus emociones. Son generosos e independientes, joviales y parlanchines. Sin embargo también pueden ser ambiciosos, independientes, violentos y agresivos, impredecibles, volubles y demasiado francos.</t>
  </si>
  <si>
    <t>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t>
  </si>
  <si>
    <t>Son personas que se caracterizan por sus pensamientos e ideas metódicas, prácticas y realistas, que se comunican con tacto, cuidado y buscan ser comprendidas en todo. Sus sentimientos emociones son suaves, se preocupan por los demás y son sumamente amables.</t>
  </si>
  <si>
    <t>Son personas que se caracterizan por sus ideas precisas, claras objetivas, creativas y futuristas, siempre a la vanfguardia. Se comunican francamnete, directos y acertivos, odian dar vueltas a lo que se va a decir. Sus sentimientos son confiables, se emocionan e ilusionan fácilmente, son pasionales y entusiastas.</t>
  </si>
  <si>
    <t xml:space="preserve">Su trigrama es Tui, que significa lago, y representa a la hija menor. Su fuerza energética es yin lo que los convierte en personas tranquilas, con el potencial del agua, quieta y profunda. Son personas reflexivas, suaves, sensibles, encuentran su seguridad en la profundidad de sus sentimientos lo que les da una apariencia exterior de calina y tranquilidad. Simbolizan la alegría, son cariñosas, independientes, divertidos, excelente, para escuchar a los demás.  Tienen el sentido del buen gusto y tacto, excelentes diseñadores, creativos, estilizados, elegantes, reflexivos, excelentes para contabilizar y socializar.  Son expresivos y coloridos, buscadores de comodidad y placer. Disfrutan del buen gusto, la armonía v el comer y son buenos anfitriones.  Se ven más jóvenes de lo que son; carismáticos glamorosos y buenos consejeros. Son libres e independientes, excelentes exponentes, oradores, decoradores, modistas, contadores, consejeros, políticos, coordinadores de eventos sociales y fiestas. </t>
  </si>
  <si>
    <t>Odian ser ignorados. Saben evaluar, lo que los convierte en conciliadores. También son buenos dentistas, banqueros y distribuidores. En la salud deben cuidarse el pecho, la pelvis, la cabeza, la piel y los intestinos. En sus relaciones sentimentales son nostálgicos y sensuales, extremadamente sensuales y exquisitos. Enfatizan su propia belleza y buscan la calidad. Actúan con el corazón y les es difícil, casi imposible, decir no. En lo negativo son hedonistas, egoístas, arrogantes, volubles, irresponsables, cambiantes y nerviosos.</t>
  </si>
  <si>
    <t xml:space="preserve">La mejor cualidad de los nacidos en los años del perro es la honestidad. Son excelentes compañeros, gracias a que poseen una lealtad a toda prueba. Como necesitan darse y ser comprendidos, buscan en los demás estas dos condiciones. Jamás traicionarán una confidencia ni un palabra comprometida. Además acostumbran a mantenerse fríos en los peores momentos: cuando los otros corren, ellos conservan la calma y logran evitar la tragedia. Serían eficaces bomberos y socorristas. Debido a que inspiran una gran confianza, encuentran con facilidad a los colaboradores fieles y que seguirán todas las órdenes que reciban sin discutirlas. Son dignos cumplidores con la Justicia, aunque resulten poco tolerantes con los fallos de sus subalternos y de las personas que quieren. Llegan a ser muy duros en sus críticas, y resultan egoístas y muy testarudos. De una forma inesperada se hunden en grandes zonas de pesimismo. Leales, justos, respetuosos y con un sentido de la fidelidad a prueba de cualquier sacrificio. Serán muy felices con los caballos, pero con los tigres mantendrán unas batallas </t>
  </si>
  <si>
    <t xml:space="preserve">continuas. La paz y la serenidad junto a los gatos. En realidad los perros pueden ser industriales, capataces, críticos de espectáculos, educadores, sacerdotes, escritores, filósofos, pensadores, moralistas, jueces, magistrados, doctores, políticos, espías, intelectuales y, especialmente, unas personas invertidas de posición: es decir, a pesar de ser gentes de derechas funcionarían muy bien con las izquierdas. </t>
  </si>
  <si>
    <t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t>
  </si>
  <si>
    <t>Personajes rata:</t>
  </si>
  <si>
    <t>Personajes tigre:</t>
  </si>
  <si>
    <t>Personajes Conejo (Gato):</t>
  </si>
  <si>
    <t>Personajes Dragón:</t>
  </si>
  <si>
    <t>Personajes Serpiente:</t>
  </si>
  <si>
    <t>Personajes Caballo:</t>
  </si>
  <si>
    <t>Personajes Cabra (Oveja):</t>
  </si>
  <si>
    <t>Personajes Mono:</t>
  </si>
  <si>
    <t>Personajes Gallo:</t>
  </si>
  <si>
    <t>Personajes Perro:</t>
  </si>
  <si>
    <t>La tierra yin a los monos, gallos y perros nacidos con este compañero de ruta, le será muy difícil encontrar pareja y más aún contraer matrimonio. Tampoco es conveniente nacer en esta hora porque así mismo puede hacerlos muy irresponsables. Pero para el Jabalí, el tigre, el conejo y la cabra misma nacer a esta hora les traerá buena suerte en el trabajo y en algunos casos pueden llegar hacer famosos.</t>
  </si>
  <si>
    <t>la belleza de la energía madera yin puede producir en este compañero de ruta grandes cualidades para la poesía, pero también, una gran tendencia al melodrama e irregularidades al convivir en sociedad. Esta hora resulta mejor si se nace bajo el signo del tigre, la rata, caballo, la cabra y el Jabalí, fatal para el búfalo, la serpiente y el perro, el resto de los signos sólo verán aumentada su capacidad como amantes.</t>
  </si>
  <si>
    <t>La madera yang dota de valor y belleza a  quien porte este compañero de ruta, pero también de agresividad y mal genio. La madera yang otorga a sí mismo capacidad para la actuación y las artes marciales es excelente nacer a la hora del tigre si eres rata, dragón, perro y caballo, pero resulta fatal para el  mono, el mismo tigre, el Jabalí y el gallo, haciéndolos cortos de escrúpulos y demasiado osados.</t>
  </si>
  <si>
    <t xml:space="preserve">Son precisos y exactos, poco expresivos pero muy leales y sinceros. Son excelentes administradores, políticos, militares economistas, modistas, industriales, abogados, joyeros, vendedores, saJabalítes, maestros, asesores y psiquiatras. En la salud deben cuidarse de las inflamaciones dolores de cabeza, problemas de la piel; asimismo poner atención en los pulmones, los huesos y el corazón. En su lado oscuro son tercos, fríos, inexpresivos, calculadores, egoístas, dominantes, rígidos, orgullosos e inflexibles. </t>
  </si>
  <si>
    <t>Ascendente o Compañero de Ruta</t>
  </si>
  <si>
    <t>de</t>
  </si>
  <si>
    <t>a</t>
  </si>
  <si>
    <t>Búfalo</t>
  </si>
  <si>
    <t>Cabra</t>
  </si>
  <si>
    <t>Compañero de Ruta</t>
  </si>
  <si>
    <t>Hora de Nacimiento</t>
  </si>
  <si>
    <t>A continuación les damos un mayor apoyo en función de los elementos en la relación con respecto al amor, al sexo y al romance en una relación sentimental.</t>
  </si>
  <si>
    <t>En personalidad ambos disfrutan de una combinación de seguridad y aventura, de alegría y diversión.</t>
  </si>
  <si>
    <t>En carácter comparten el amor a su espacio privado a la cultura y a la relajación. Pueden ser los mejores amigos o los peores enemigos.</t>
  </si>
  <si>
    <t>En el número energético ambos son personas que destacan y brillan a nivel público y social, deben cuidar en no caer en rivalidades.</t>
  </si>
  <si>
    <t>En el número energético son una combinación muy poderosa. Impresionan con su imagen de prestigio, poder y seguridad.</t>
  </si>
  <si>
    <t>En el número energético nos muestra a dos personas fáciles de entender y de adaptarse objetivamente a las circunstancias y a las situaciones.</t>
  </si>
  <si>
    <t>En el número energético, a pesar de ser opuestos, puedan salir adelante uniendo sus cualidades para formar un equipo.</t>
  </si>
  <si>
    <t>Los nacidos en el año del gallo se encuentran repletos de fuego y de entusiasmo. Son extrovertidos y solitarios. No tienen reparos en decir lo primero que les pasa por la cabeza debido a su espontaneidad y a que les duele guardar una respuesta. Como el trabajo les entusiasma, se encuentran siempre ocupados. Suelen echarse sobre los hombros más tareas de las que pueden realizar. Se notan hondamente frustrados al comprobar que no pueden conseguir sus fines y tienen poca confianza en las personas que les rodean, debido a que se creen poseedores de la verdad y de la solución más eficaz para cada problema. Son agresivos, bastante conservadores y egoístas en exceso. Aman el hecho de soñar, meditar y construir castillos en el aire. Se ven como héroes y son todo un espectáculo fuera del corral. Es posible que si se le presenta la ocasión realicen lo que dicen, por ejemplo, demostrar su valentía, pero lo normal es que exageren en su versión de los hechos. Los gallos están bien dispuestos para las tareas agrícolas y para todas aquellas profesiones que exijan permanecer en contacto con las gentes.</t>
  </si>
  <si>
    <t xml:space="preserve">Esta combinación en el número personal nos habla de una excelente relación de amistad y compañerismo, que puede correr el riesgo de convertirse en enemistad y conflictos, si ambos no encuentran algo que los sustente, lo cual puede corregirse incorporando elemento metal en la decoración de su recámara o casa.                                                                                                                                                                                                                                                                                                                                                                                                                                                                                                                                                                                                                                                                                                                                                                                                                                                                                                                                                                                                                                                                                                                                                                                                                                                                                                                                                                                                                                                                                                                                                                   </t>
  </si>
  <si>
    <t>En el carácter, representa una relación en la cual los dos platican, comparten y se comunican constantemente. Les gusta hacer planes y estructurar cambios, sin embargo, difícilmente los concretan.</t>
  </si>
  <si>
    <t>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t>
  </si>
  <si>
    <t>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t>
  </si>
  <si>
    <t>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t>
  </si>
  <si>
    <t>Es el centro, la conjunción de los ocho trigramas, por lo que toma su naturaleza de ellos y puede tener características de todos, principalmente de 2Tierra y de 8Tierra. Son el centro de la familia, de la atención, por lo que tienden al egoísmo y egocentrismo. Son independientes y separados de la familia; son el punto de atención en el aspecto social y son extremadamente sociables, amistosos, simpáticos y se relacionan con todo tipo de personas. A su vez son extremistas v constantemente cometen los mismos errores. Extremadamente atractivos y ambiciosos, son los mejores para salir delante de las situaciones problemáticas. Siempre están en el centro de lo que sucede a su alrededor. Son excelentes para controlar las situaciones, toman el liderazgo y la guía. Constantemente tienen altas y bajas, son resistentes y perseverantes, capaces de generar grandes cambios en cualquier parte. Son glamorosos y atractivos, trancos v tenaces; no soportan la crítica y creen tener siempre la razón.</t>
  </si>
  <si>
    <t xml:space="preserve">Son excelentes en relaciones públicas y su enorme carisma les permite controlar grandes empresas y convertirse en líderes; la comunicación es otro aspecto favorable para ellos, son buenos vendedores y comerciantes. En su aspecto sentimental son polifacéticos y cambiantes, lo que los hace muy atractivos, son simpáticos y divertidos, al igual que adaptables a las circunstancias, por lo que no tienen un patrón definido de pareja ideal y pueden verse en las relaciones sentimentales más extrañas y opuestas. </t>
  </si>
  <si>
    <t>Un movimiento hacia esta dirección despertará la creatividad y revolucionará  tu energía. Te sentirás fresco, libre artístico. Ideal para desarrollar las ideas y los proyectos más locos y originales: Despertará la tenacidad y la perseverancia, tendrás ganas de hacer ejercicio y estar activo.</t>
  </si>
  <si>
    <t>ENERO</t>
  </si>
  <si>
    <t>FEBRERO</t>
  </si>
  <si>
    <t>MARZO</t>
  </si>
  <si>
    <t>ABRIL</t>
  </si>
  <si>
    <t>MAYO</t>
  </si>
  <si>
    <t>JUNIO</t>
  </si>
  <si>
    <t>JULIO</t>
  </si>
  <si>
    <t>AGOSTO</t>
  </si>
  <si>
    <t>SEPTIEMBRE</t>
  </si>
  <si>
    <t>OCTUBRE</t>
  </si>
  <si>
    <t>NOVIEMBRE</t>
  </si>
  <si>
    <t>DICIEMBRE</t>
  </si>
  <si>
    <t>LO SHU EN</t>
  </si>
  <si>
    <t>AÑO</t>
  </si>
  <si>
    <t>Brigitte Bardot, Bertolt Brecht, Lenin, Voltaire, Sócrates, Moliere, León Blum, Proust, Yuri Gagarin, Guy de Maupassant, Luis XVI de Francia, David Bowie, Bruno Kreisky, Norman Mailer, Bettino Craxi, Liza Minelli, Alberto de Monaco, Úrsula Andreus, Akira Kurosawa, Shirley McLaine, Tony Leblanc, Candice Bergen, Stefania Sandrelli, Jacques Cousteau, Jean Anouilh, Silvester Stallone, Mireille Mathieu, Shelley Winters, Madre Teresa de Calcuta, Michael Jackson, Vittorio Gassmann, Rocío Jurado, Sofia Loren, Olivia Newton-John, Christian Barnard, Manuel Fraga Iribarne, Ava Gardner.</t>
  </si>
  <si>
    <t>Las personas con este ascendente son ordenadas, organizadas, detallistas y perfeccionistas, eficientes y brillantes, destacan por su labor, crean grandes empresas pero tienen constantes altas y bajas económicas. Se inmiscuyen en las aventuras financieras más extrañas y locas.</t>
  </si>
  <si>
    <t xml:space="preserve">Criaturas justas, leales, equitativas, sinceras, honestas, sencilla. Luchan por lograr todo lo que se proponen. Disciplinadas, no admiten términos medios, son drásticas y decididas. </t>
  </si>
  <si>
    <t>Estas personas son amistosas, generosas y leales; Jamás dejaran ni abandonaran a alguien en problemas; cariñosas, simpáticas y graciosas.</t>
  </si>
  <si>
    <t>Generalmente son personas abiertas y honestas tienen una idea muy peculiar de la vida, sin embargo dificilmente las engañas, su naturaleza es amistosa y tienen un amplio circulo social. Tienen un sentido común que las pone en ventaja en cualquier situación, es importante que aprendan a distinguir entre conversación y chismes, para evitar problema sy conflictos.</t>
  </si>
  <si>
    <t>INCOMPATIBILIDAD CON EN ASCENDENTE</t>
  </si>
  <si>
    <t>Jabalí</t>
  </si>
  <si>
    <t>Serpientes sumamente sensibles y ultra eróticas y muy refinadas, pero dadas a los vicios más extremos, todos ligados al placer erótico. Los Jabalís, artísticos, analíticos y sabios, pero curiosos en cuanto a los límites que podrán llegar a sentir bajo distintos estimulantes. Se sentirán muy auto controlado y por lo mismo limitados.</t>
  </si>
  <si>
    <t>En personalidad comparten los mismos gustos y atractivos, es una relación que puede girar alrededor del desarrollo profesional.</t>
  </si>
  <si>
    <t>En carácter deben cuidar de no caer en la competencia por destacar y obtener más logros que el otro para evitar convertir la relación en algo destructivo.</t>
  </si>
  <si>
    <t>En el número energético son tenaces y dedicados, capaces de formar un equipo exitoso, deben evitar caer en el estancamiento y el aburrimiento.</t>
  </si>
  <si>
    <t>En el carácter tienen pasión y tenacidad, son los polos opuestos que se complementan y dan vida.</t>
  </si>
  <si>
    <t>En personalidad representan la fiesta, el brillo y destacan socialmente. Capaces de socializar con todo el mundo y tener todo tipo de relaciones amistosas.</t>
  </si>
  <si>
    <t>En el carácter deben de cuidar de no competir por destacar más que el otro, ya que pueden convertirse en una relación explosiva.</t>
  </si>
  <si>
    <t>En el número energético son pasión y fuego, excelentes colegas inspirados y creativos. Excelente equipo para ventas y relaciones públicas.</t>
  </si>
  <si>
    <t>En carácter, su relación es suave y considerada. Se consienten y se m imán, disfrutan del ambiente familiar.</t>
  </si>
  <si>
    <t>En número energético deben ser más realistas y un poco más impulsivos para lograr sus metas y cristalizar sus planes.</t>
  </si>
  <si>
    <t>En el carácter son impulsivos y aventurados, disfrutan de convivir juntos y del dinamismo. Poseen la habilidad de entenderse y comunicarse de manera franca y directa.</t>
  </si>
  <si>
    <t>En personalidad ambos son suaves y elegantes, simpáticos y comparten su  carisma y estilo.</t>
  </si>
  <si>
    <t>En personalidad disfrutan el uno del otro y llevan una relación muy afín. Son entusiastas y positivos.</t>
  </si>
  <si>
    <t>En la relación sexual pueden resultar una pareja con falta de pasión, al ser personas con elementos similares el romance no es fuerte es importante que cultiven y desarrollen actividades similares que les representen emoción y aventura.</t>
  </si>
  <si>
    <t>Buena  combinación, el agua aporta la actividad sexual, la profundidad de sentimientos, y la madera la aventura. Se entienden muy bien y forman una atmosfera de complicidad.</t>
  </si>
  <si>
    <t>agua-agua</t>
  </si>
  <si>
    <t>agua-tierra</t>
  </si>
  <si>
    <t xml:space="preserve">Porque también cuentan con un espíritu aventurero y son las personas más fascinadoras del Zodiaco Chino. Cuidado, si alguien se atreve a enojarlas se encolerizan con gran facilidad y contraatacan con evidente crueldad y eficacia. Pueden resultar bastante celosas en el amor y, sobre todo. en las cuestiones sexuales. Es el lado opuesto de sus grandes posibilidades a la hora de conquistar en estas dos sugestivas parcelas de la existencia. Por algo se considera a las personas nacidas en los años rata como las más "ligonas" de este mundo. Viven intensamente el presente, y cualquier suceso que se presenta se transforma en el acto en un motivo capaz de hacerlas luchar hasta encontrar su "intríngulis" o resolverlo. Su principal cualidad es la intuición, la astucia y la osadía. Poseen una gran creatividad y una impresionante capacidad de invención. </t>
  </si>
  <si>
    <t>PERSONALIDAD DE LA PAREJA</t>
  </si>
  <si>
    <t>CARÁCTER DE LA PAREJA</t>
  </si>
  <si>
    <t>ENERGÍA DE LA PAREJA</t>
  </si>
  <si>
    <t>usted</t>
  </si>
  <si>
    <t>su pareja</t>
  </si>
  <si>
    <t>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t>
  </si>
  <si>
    <t>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t>
  </si>
  <si>
    <t>día</t>
  </si>
  <si>
    <t>mes</t>
  </si>
  <si>
    <t>Sara Bernardt, Mari Pickford, Salvador Dalí, Harold Wilson, Juana de Arco, Jesucristo, Juan Jacobo Rousseau, Barbara Cartiand, Bernard Shaw, Danton, Mariscal Tito, Santa Bernardette, Napoleón III, Mariscal Petain, Pilar Miró, Joan Baez, Susannah York, Pasqual Maragall, Faye Dunaway, Ernesto Halffter, Plácido Domingo, Adolfo Marsillach, Jean Simmons, Estefanía de Mónaco, Gabriel García Márquez, Sara Montiel, Alberto Cortez, Bernardo Bertolucci, Gregory Peck, Julie Christie, Shirley Temple, Al Pacino, Glen Ford, Fabiola de Bélgica, Olivia de Havilland, Ringo Starr, Yul Brynner, Stanley Kubrick, James Coburn, Raquel Welch, Rossano Brazzi, Silvia Kristel, George Peppard, Pelé, Ray Coniff, Elke Sommer, Gene Tierney, François Mitterrand, Trevor Howard, Gram.</t>
  </si>
  <si>
    <t>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t>
  </si>
  <si>
    <t>Rembrandt, David Crockett, Carlomagno, Kruschev, Pasteur, Eduardo VIII, Delacroix, Isaac Newton, George Braque Buffalo Bill, el rey Balduino de Bélgica, María Mahor, Robert Duvall, Terry Venables, Robert Stack, José Luis Rodríguez "El Puma", Ernest Borgnine, Lucía Bosé, Katherine Ross, John Carradine, Robert Wagner, Claire Bloom, John Travolta, Joanne Woodward, Felipe González Márquez, José Barrionuevo, Samuel Beckett, Silvana Mangano, Barbra Streissand, Ella Fitzgerald, Clint Eastwood, Paul McCartney, Lillian Hellman, Claude Chabrol, Oriana Fallaci.</t>
  </si>
  <si>
    <t>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t>
  </si>
  <si>
    <t>Lyndon Johson, Harry Truman, Julio César, Chamberlain, Leonardo da Vinci, Modigliani, Gauguin, John Millón Lord Byron, Alejandro Dumas, el marqués de Sade, Elizabeth Taylor, Rod Steward, José Luis Perales, Carolina de Monaco, Felipe de Borbón, Charlotte Rampling, Lana Turner, Mia Farrow, Milos Forman, Giulietta Masina, Rex Harrison, Diana Ross, Dick Bogarde, Nagisa Oshima, Debbie Reynolds, Miguel Bosé, Anthony Perkins, Bette Davis, Herbert von Karajan, Omar Sharif, Anouk Aimée, Ray Sugar Robinson, Karol Wojtyla, James Stewart, Helmut Berger, Don Ameche, Bjorn Borg, Miguel Ríos, Juan Antonio Samaranch.</t>
  </si>
  <si>
    <t>Richelieu, Goebbels, Raimond Oliver, María de Médici, Pablo VI, Francoise Mauriac, André Maurois, William Faulkner, Wagner, Kipling, La Fontaine, Colette, Diane Keaton, Jacques Anquetil, Ava Gardner, Joseph Leo Mankiewicz, Costa Gravas, Kim Novak, Cyd Charisse, Michael Caine, Simone Signoret, Catherine,Spaak, Daniel Cohn Bendit, Norma Duval, Jean-Paul Belmondo, Monserrat Caballé, Peter Ustinov, Juliana de Holanda, Raphael, Andrei Sajarov, Joan Collins, Benny Goodman, Eddy Merckx, Jane Russell, Nancy Reagan, Donald Southerland, John Glenn, Bob Beaumon, Carmen Laforet, Elia Kazan, Deborah Kerr, Charles Bronson, Katherine Hepburn.</t>
  </si>
  <si>
    <t>En personalidad, pueden ser lo mejores amigos o los peores enemigos, necesitan nutrirse del elemento metal para no caer en depresiones. Deben destacar sus cualidades para impulsarse y crecer.</t>
  </si>
  <si>
    <t>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t>
  </si>
  <si>
    <t>La gente nacida en el año del gallo son pensadores profundos, capaces, y talentosos. Ella tiene gusto de estar ocupada y es devota más allá de sus capacidades y está decepcionada profundamente si el le falla. Pueble nato en el gallo que el año es a menudo un excéntrico del pedacito, y tenga a menudo relación algo difícil con otras personas. ¡Piensan siempre que tienen razón y que están generalmente! Son con frecuencia loners y aunque dan la impresión exterior de ser adventureros, son tímida. Las emociones de la gente del gallo tienen gusto de sus fortunas, oscilación muy alto a muy bajo. Pueden ser egoístas y demasiado abiertas, pero son siempre interesantes y pueden ser extremadamente valientes. Son las más compatibles con el búfalo , la serpiente, y el dragón.</t>
  </si>
  <si>
    <t>Estas personas son rápidos, vivavces; ideas fugaces y brillantes, son personas ocurrentes y originales, alegres, festivas, agudas y espontáneas, que defienden apasionadamente sus ideas cuando hablan, muy expresivas y glamurosas en sus emociones son impulsivas, orgullosas, vanidosas y un poco salvajes y extremistas.</t>
  </si>
  <si>
    <t>PERÍODO</t>
  </si>
  <si>
    <t>N° Principal</t>
  </si>
  <si>
    <t>desde</t>
  </si>
  <si>
    <t>hasta</t>
  </si>
  <si>
    <t>entre períodos</t>
  </si>
  <si>
    <t>6Metal</t>
  </si>
  <si>
    <t>7Metal</t>
  </si>
  <si>
    <t>8Tierra</t>
  </si>
  <si>
    <t>Estas personas son serias, calladas y profundas a primera vista aunque después se manifiesten sus otras estrellas. Estas personas necesitan desarrollar flexibilidad, espiritualidad y prácticas de purificación, aunque a  primera impresión dan la idea de ser fáciles, tranquilas y flexibles, que realmente es lo que hay que trabajar, así como en el trabajo su actitud es indepemdiente, objetiva y artística.</t>
  </si>
  <si>
    <t>La impresión que dan es de ser personas superficiales, cooperativas, conservadoras y confiables. Su camino se mejora a través del desarrollo de la filantropía, el amor maternal la receptividad y de ayudar con amor a los demás: La primera imagen que estas personas proyectan es ser sociables, amistosas y maternales. En cualquier trabajo se manifiestan cooperativas, organizadas, cuidadosas y confiables.</t>
  </si>
  <si>
    <t>Su apariencia es explosiva, ruidosa, hiperactiva. Deben aprender a ser espontáneas, expresivas, flexibles y a madurar a través del crecimiento interno y externo. Dan la impresión de ser personas directas, conocedoras y orientadas. Al trabajar son técnicos, entusiastas y compenetrados.</t>
  </si>
  <si>
    <t>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t>
  </si>
  <si>
    <t>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t>
  </si>
  <si>
    <t>La tierra yang del dragón provee al signo anual de un carisma tremendo, produce líderes espirituales políticos sobresalientes y caudillos. Pero también puede producir adolescentes procesos aunque muy inteligentes. Da tigres, conejos, caballos y perros chismosos y solterones. Gallos, dragones y monos sobresalientes o poderosos y para el resto del zodiaco personas atractivas.</t>
  </si>
  <si>
    <t>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t>
  </si>
  <si>
    <t>Ascendente</t>
  </si>
  <si>
    <t>Características</t>
  </si>
  <si>
    <t>El metal yang a las personas gallo, serpiente y búfalo nacer a la hora del mono les trae problemas sociales toda su vida, las dota de un carácter lleno de altibajos y un sentido del humor tonto o grosero, sin embargo, para las personas de los años del perro, el caballo y la cabra el mono les dará vitalidad y muchísima inteligencia, el resto del zodiaco, sólo será más simpático y atlético en general, el metal yang también produce médico cirujanos.</t>
  </si>
  <si>
    <t>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t>
  </si>
  <si>
    <t xml:space="preserve">Sensitivos, emocionales y apasionados en el amor. Lo singular hemos de verlo en que sus romances acostumbran a resultar turbulentos. Su pareja ideal es un caballo honesto, un dragón prudente o con un perro idealista. Las peores serían una serpiente sabia y un mono malicioso. </t>
  </si>
  <si>
    <t xml:space="preserve">Se encuentran predispuestos a entregarse plenamente en el amor lo que no les impide mostrarse enfurecidos cuando se hallan en esta situación: la desconfianza y los celos les hieren profundamente. Los caballos jamás deben unirse a las ratas, debido a que enseguida se producirá esa chispa que generará una batalla con las peores consecuencias para los primeros. </t>
  </si>
  <si>
    <t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t>
  </si>
  <si>
    <t xml:space="preserve">La gente nacida en el año del caballo es popular. Ella es alegre, experta con el dinero, y perceptive, aunque ella habla a veces demasiado. Sea sabio, talentoso, bueno con sus manos, y tenga a veces una debilidad para los miembros del sexo opuesto. Son impaciente y apasionada sobre todo a menos que su trabajo diario. Tienen gusto la hospitalidad y las muchedumbres grandes. Son muy independientes y escuchan raramente el consejo de los demas. Son más compatible con los tigres, los perros, y las ovejas.Las personas se hallan bajo la influencia del año caballo son optimistas, comunicativas y sociables. Esto supone que con facilidad llegan a convertirse en las más populares y amadas por las gentes que las rodean. </t>
  </si>
  <si>
    <t>Características adicionales que el ascendente imprime a este signo.</t>
  </si>
  <si>
    <t>BúfaloTigre</t>
  </si>
  <si>
    <t>TigreTigre</t>
  </si>
  <si>
    <t>ConejoTigre</t>
  </si>
  <si>
    <t>DragónTigre</t>
  </si>
  <si>
    <t>SerpienteTigre</t>
  </si>
  <si>
    <t>CaballoTigre</t>
  </si>
  <si>
    <t>CabraTigre</t>
  </si>
  <si>
    <t>MonoTigre</t>
  </si>
  <si>
    <t>GalloTigre</t>
  </si>
  <si>
    <t>PerroTigre</t>
  </si>
  <si>
    <t>JabalíTigre</t>
  </si>
  <si>
    <t>RataTigre</t>
  </si>
  <si>
    <t>BúfaloBúfalo</t>
  </si>
  <si>
    <t>BúfaloConejo</t>
  </si>
  <si>
    <t>BúfaloDragón</t>
  </si>
  <si>
    <t>BúfaloSerpiente</t>
  </si>
  <si>
    <t>BúfaloCaballo</t>
  </si>
  <si>
    <t>BúfaloMono</t>
  </si>
  <si>
    <t>BúfaloGallo</t>
  </si>
  <si>
    <t>BúfaloPerro</t>
  </si>
  <si>
    <t>BúfaloJabalí</t>
  </si>
  <si>
    <t>BúfaloRata</t>
  </si>
  <si>
    <t>TigreBúfalo</t>
  </si>
  <si>
    <t>TigreConejo</t>
  </si>
  <si>
    <t>TigreDragón</t>
  </si>
  <si>
    <t>TigreSerpiente</t>
  </si>
  <si>
    <t>TigreCaballo</t>
  </si>
  <si>
    <t>TigreCabra</t>
  </si>
  <si>
    <t>TigreGallo</t>
  </si>
  <si>
    <t>TigrePerro</t>
  </si>
  <si>
    <t>TigreJabalí</t>
  </si>
  <si>
    <t>TigreRata</t>
  </si>
  <si>
    <t>ConejoBúfalo</t>
  </si>
  <si>
    <t>ConejoConejo</t>
  </si>
  <si>
    <t>ConejoDragón</t>
  </si>
  <si>
    <t>ConejoSerpiente</t>
  </si>
  <si>
    <t>ConejoCaballo</t>
  </si>
  <si>
    <t>ConejoCabra</t>
  </si>
  <si>
    <t>ConejoMono</t>
  </si>
  <si>
    <t>ConejoPerro</t>
  </si>
  <si>
    <t>ConejoJabalí</t>
  </si>
  <si>
    <t>ConejoRata</t>
  </si>
  <si>
    <t>DragónBúfalo</t>
  </si>
  <si>
    <t>DragónConejo</t>
  </si>
  <si>
    <t>DragónDragón</t>
  </si>
  <si>
    <t>DragónSerpiente</t>
  </si>
  <si>
    <t>DragónCaballo</t>
  </si>
  <si>
    <t>DragónCabra</t>
  </si>
  <si>
    <t>DragónMono</t>
  </si>
  <si>
    <t>DragónGallo</t>
  </si>
  <si>
    <t>DragónJabalí</t>
  </si>
  <si>
    <t>DragónRata</t>
  </si>
  <si>
    <t>SerpienteBúfalo</t>
  </si>
  <si>
    <t>SerpienteConejo</t>
  </si>
  <si>
    <t>SerpienteDragón</t>
  </si>
  <si>
    <t>SerpienteSerpiente</t>
  </si>
  <si>
    <t>SerpienteCaballo</t>
  </si>
  <si>
    <t>SerpienteCabra</t>
  </si>
  <si>
    <t>SerpienteMono</t>
  </si>
  <si>
    <t>SerpienteGallo</t>
  </si>
  <si>
    <t>SerpientePerro</t>
  </si>
  <si>
    <t>SerpienteRata</t>
  </si>
  <si>
    <t>CaballoBúfalo</t>
  </si>
  <si>
    <t>CaballoConejo</t>
  </si>
  <si>
    <t>CaballoDragón</t>
  </si>
  <si>
    <t>CaballoSerpiente</t>
  </si>
  <si>
    <t>CaballoCaballo</t>
  </si>
  <si>
    <t>CaballoCabra</t>
  </si>
  <si>
    <t>CaballoMono</t>
  </si>
  <si>
    <t>CaballoGallo</t>
  </si>
  <si>
    <t>CaballoPerro</t>
  </si>
  <si>
    <t>CaballoJabalí</t>
  </si>
  <si>
    <t>CabraConejo</t>
  </si>
  <si>
    <t>CabraDragón</t>
  </si>
  <si>
    <t>CabraSerpiente</t>
  </si>
  <si>
    <t>CabraCaballo</t>
  </si>
  <si>
    <t>CabraCabra</t>
  </si>
  <si>
    <t>CabraMono</t>
  </si>
  <si>
    <t>CabraGallo</t>
  </si>
  <si>
    <t>CabraPerro</t>
  </si>
  <si>
    <t>CabraJabalí</t>
  </si>
  <si>
    <t>CabraRata</t>
  </si>
  <si>
    <t>MonoBúfalo</t>
  </si>
  <si>
    <t>MonoConejo</t>
  </si>
  <si>
    <t>MonoDragón</t>
  </si>
  <si>
    <t>MonoSerpiente</t>
  </si>
  <si>
    <t>MonoCaballo</t>
  </si>
  <si>
    <t>MonoCabra</t>
  </si>
  <si>
    <t>MonoMono</t>
  </si>
  <si>
    <t>MonoGallo</t>
  </si>
  <si>
    <t>MonoPerro</t>
  </si>
  <si>
    <t>MonoJabalí</t>
  </si>
  <si>
    <t>MonoRata</t>
  </si>
  <si>
    <t>PerroBúfalo</t>
  </si>
  <si>
    <t>PerroConejo</t>
  </si>
  <si>
    <t>PerroDragón</t>
  </si>
  <si>
    <t>PerroSerpiente</t>
  </si>
  <si>
    <t>PerroCaballo</t>
  </si>
  <si>
    <t>PerroCabra</t>
  </si>
  <si>
    <t>PerroMono</t>
  </si>
  <si>
    <t>PerroGallo</t>
  </si>
  <si>
    <t>PerroPerro</t>
  </si>
  <si>
    <t>PerroJabalí</t>
  </si>
  <si>
    <t>PerroRata</t>
  </si>
  <si>
    <t>JabalíBúfalo</t>
  </si>
  <si>
    <t>JabalíConejo</t>
  </si>
  <si>
    <t>JabalíDragón</t>
  </si>
  <si>
    <t>JabalíSerpiente</t>
  </si>
  <si>
    <t>JabalíCaballo</t>
  </si>
  <si>
    <t>JabalíCabra</t>
  </si>
  <si>
    <t>JabalíMono</t>
  </si>
  <si>
    <t>JabalíGallo</t>
  </si>
  <si>
    <t>JabalíPerro</t>
  </si>
  <si>
    <t>JabalíJabalí</t>
  </si>
  <si>
    <t>JabalíRata</t>
  </si>
  <si>
    <t>GalloBúfalo</t>
  </si>
  <si>
    <t>GalloConejo</t>
  </si>
  <si>
    <t>GalloDragón</t>
  </si>
  <si>
    <t>GalloSerpiente</t>
  </si>
  <si>
    <t>GalloCaballo</t>
  </si>
  <si>
    <t>GalloCabra</t>
  </si>
  <si>
    <t>GalloMono</t>
  </si>
  <si>
    <t>GalloGallo</t>
  </si>
  <si>
    <t>GalloPerro</t>
  </si>
  <si>
    <t>GalloJabalí</t>
  </si>
  <si>
    <t>GalloRata</t>
  </si>
  <si>
    <t>RataBúfalo</t>
  </si>
  <si>
    <t>RataConejo</t>
  </si>
  <si>
    <t>RataDragón</t>
  </si>
  <si>
    <t>RataSerpiente</t>
  </si>
  <si>
    <t>RataCaballo</t>
  </si>
  <si>
    <t>RataCabra</t>
  </si>
  <si>
    <t>RataMono</t>
  </si>
  <si>
    <t>RataGallo</t>
  </si>
  <si>
    <t>RataPerro</t>
  </si>
  <si>
    <t>RataJabalí</t>
  </si>
  <si>
    <t>RataRata</t>
  </si>
  <si>
    <t>NO EXISTE INCOMPATIBILIDAD CON EL ASCENDENTE</t>
  </si>
  <si>
    <t>Ratas Impetuosas pero irresponsables Aunque buenas para improvisar y llamar la atención de todo el mundo. Buenos actores y artistas. Caballos tendientes a sufrir déficit de atención y neurosis</t>
  </si>
  <si>
    <t>RATA</t>
  </si>
  <si>
    <t>TIGRE</t>
  </si>
  <si>
    <t>CONEJO</t>
  </si>
  <si>
    <t>DRAGÓN</t>
  </si>
  <si>
    <t>SERPIENTE</t>
  </si>
  <si>
    <t>CABALLO</t>
  </si>
  <si>
    <t>CABRA</t>
  </si>
  <si>
    <t>MONO</t>
  </si>
  <si>
    <t>GALLO</t>
  </si>
  <si>
    <t>PERRO</t>
  </si>
  <si>
    <t>SIMBOLO</t>
  </si>
  <si>
    <t>JABALÍ</t>
  </si>
  <si>
    <t>BÚFALO</t>
  </si>
  <si>
    <t>SIMBOLO1</t>
  </si>
  <si>
    <t>La gente nacida bajo signo del tigre es sensible, dado profundamente al pensamiento, capaz de gran condolencia. Ella puede ser templada extremadamente Fria, sin embargo. La gente tiene gran respecto por ella, pero la gente del tigre tiene a veces  conflicto con las personas mayores o aquellas que tienen autoridad, no pueden soportar a alguien por encima de sus mentes, que pueden dar lugar a una pobre respuesta o  una decisión precipitada, una decisión sana llega demasiado tarde. Son recelosas de otras, pero son valerosas y de gran alcance. Los tigres son los más compatibles con los caballos, los dragones, y los perros. Los individuos tigre son independientes, tenaces y duros Son considerados muy afortunados, ya que su signo representa la suerte.</t>
  </si>
  <si>
    <t>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</si>
</sst>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47">
    <font>
      <sz val="10"/>
      <name val="Arial"/>
    </font>
    <font>
      <sz val="10"/>
      <name val="Arial"/>
      <family val="2"/>
    </font>
    <font>
      <sz val="10"/>
      <name val="Arial"/>
      <family val="2"/>
    </font>
    <font>
      <sz val="10"/>
      <color indexed="10"/>
      <name val="Arial"/>
      <family val="2"/>
    </font>
    <font>
      <b/>
      <sz val="18"/>
      <color indexed="9"/>
      <name val="Arial"/>
      <family val="2"/>
    </font>
    <font>
      <sz val="16"/>
      <color indexed="10"/>
      <name val="Arial"/>
      <family val="2"/>
    </font>
    <font>
      <sz val="16"/>
      <name val="Arial"/>
      <family val="2"/>
    </font>
    <font>
      <b/>
      <sz val="18"/>
      <color indexed="9"/>
      <name val="Arial"/>
      <family val="2"/>
    </font>
    <font>
      <b/>
      <sz val="16"/>
      <color indexed="10"/>
      <name val="Arial"/>
      <family val="2"/>
    </font>
    <font>
      <b/>
      <sz val="16"/>
      <name val="Arial"/>
      <family val="2"/>
    </font>
    <font>
      <b/>
      <sz val="14"/>
      <color indexed="9"/>
      <name val="Arial"/>
      <family val="2"/>
    </font>
    <font>
      <sz val="8"/>
      <name val="Arial"/>
      <family val="2"/>
    </font>
    <font>
      <b/>
      <sz val="10"/>
      <color indexed="9"/>
      <name val="Arial"/>
      <family val="2"/>
    </font>
    <font>
      <b/>
      <sz val="48"/>
      <name val="Arial"/>
      <family val="2"/>
    </font>
    <font>
      <b/>
      <sz val="8"/>
      <name val="Arial"/>
      <family val="2"/>
    </font>
    <font>
      <b/>
      <sz val="24"/>
      <name val="Arial"/>
      <family val="2"/>
    </font>
    <font>
      <b/>
      <sz val="10"/>
      <name val="Arial"/>
      <family val="2"/>
    </font>
    <font>
      <b/>
      <sz val="48"/>
      <name val="Wingdings"/>
      <charset val="2"/>
    </font>
    <font>
      <b/>
      <i/>
      <sz val="10"/>
      <name val="Arial"/>
      <family val="2"/>
    </font>
    <font>
      <b/>
      <i/>
      <sz val="8"/>
      <name val="Arial"/>
      <family val="2"/>
    </font>
    <font>
      <b/>
      <i/>
      <sz val="10"/>
      <color indexed="9"/>
      <name val="Arial"/>
      <family val="2"/>
    </font>
    <font>
      <i/>
      <sz val="6"/>
      <name val="Arial"/>
      <family val="2"/>
    </font>
    <font>
      <b/>
      <sz val="14"/>
      <name val="Arial"/>
      <family val="2"/>
    </font>
    <font>
      <b/>
      <i/>
      <sz val="18"/>
      <name val="Helv"/>
    </font>
    <font>
      <b/>
      <i/>
      <sz val="10"/>
      <name val="Helv"/>
    </font>
    <font>
      <sz val="10"/>
      <name val="Helv"/>
    </font>
    <font>
      <b/>
      <sz val="10"/>
      <name val="Helv"/>
    </font>
    <font>
      <sz val="10"/>
      <color indexed="9"/>
      <name val="Arial"/>
      <family val="2"/>
    </font>
    <font>
      <b/>
      <sz val="16"/>
      <color indexed="9"/>
      <name val="Arial"/>
      <family val="2"/>
    </font>
    <font>
      <b/>
      <sz val="11"/>
      <color indexed="9"/>
      <name val="Arial"/>
      <family val="2"/>
    </font>
    <font>
      <sz val="12"/>
      <name val="Arial"/>
      <family val="2"/>
    </font>
    <font>
      <b/>
      <sz val="12"/>
      <name val="Arial"/>
      <family val="2"/>
    </font>
    <font>
      <b/>
      <sz val="10"/>
      <name val="Wingdings"/>
      <charset val="2"/>
    </font>
    <font>
      <b/>
      <sz val="10"/>
      <color indexed="8"/>
      <name val="Arial"/>
      <family val="2"/>
    </font>
    <font>
      <b/>
      <sz val="12"/>
      <color indexed="9"/>
      <name val="Arial"/>
      <family val="2"/>
    </font>
    <font>
      <b/>
      <sz val="24"/>
      <color indexed="9"/>
      <name val="LongIsland"/>
    </font>
    <font>
      <b/>
      <sz val="10"/>
      <name val="Arial"/>
      <family val="2"/>
    </font>
    <font>
      <sz val="10"/>
      <name val="Arial"/>
      <family val="2"/>
    </font>
    <font>
      <sz val="10"/>
      <color indexed="44"/>
      <name val="Arial"/>
      <family val="2"/>
    </font>
    <font>
      <b/>
      <sz val="24"/>
      <color indexed="9"/>
      <name val="Arial"/>
      <family val="2"/>
    </font>
    <font>
      <sz val="9"/>
      <name val="Arial"/>
      <family val="2"/>
    </font>
    <font>
      <b/>
      <sz val="9"/>
      <color indexed="9"/>
      <name val="Arial"/>
      <family val="2"/>
    </font>
    <font>
      <sz val="10"/>
      <color indexed="9"/>
      <name val="Arial"/>
      <family val="2"/>
    </font>
    <font>
      <b/>
      <i/>
      <sz val="28"/>
      <name val="Arial"/>
      <family val="2"/>
    </font>
    <font>
      <b/>
      <sz val="10"/>
      <color rgb="FFFF0000"/>
      <name val="Arial"/>
      <family val="2"/>
    </font>
    <font>
      <b/>
      <sz val="10"/>
      <color theme="0"/>
      <name val="Arial"/>
      <family val="2"/>
    </font>
    <font>
      <b/>
      <sz val="10"/>
      <color theme="1"/>
      <name val="Arial"/>
      <family val="2"/>
    </font>
  </fonts>
  <fills count="17">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12"/>
        <bgColor indexed="64"/>
      </patternFill>
    </fill>
    <fill>
      <patternFill patternType="solid">
        <fgColor indexed="17"/>
        <bgColor indexed="64"/>
      </patternFill>
    </fill>
    <fill>
      <patternFill patternType="solid">
        <fgColor indexed="44"/>
        <bgColor indexed="64"/>
      </patternFill>
    </fill>
    <fill>
      <patternFill patternType="solid">
        <fgColor indexed="49"/>
        <bgColor indexed="64"/>
      </patternFill>
    </fill>
    <fill>
      <patternFill patternType="solid">
        <fgColor indexed="10"/>
        <bgColor indexed="64"/>
      </patternFill>
    </fill>
    <fill>
      <patternFill patternType="solid">
        <fgColor indexed="52"/>
        <bgColor indexed="64"/>
      </patternFill>
    </fill>
    <fill>
      <patternFill patternType="solid">
        <fgColor indexed="51"/>
        <bgColor indexed="64"/>
      </patternFill>
    </fill>
    <fill>
      <patternFill patternType="solid">
        <fgColor indexed="42"/>
        <bgColor indexed="64"/>
      </patternFill>
    </fill>
    <fill>
      <patternFill patternType="solid">
        <fgColor rgb="FFFFFF00"/>
        <bgColor indexed="64"/>
      </patternFill>
    </fill>
    <fill>
      <patternFill patternType="solid">
        <fgColor rgb="FF3366FF"/>
        <bgColor indexed="64"/>
      </patternFill>
    </fill>
    <fill>
      <patternFill patternType="solid">
        <fgColor rgb="FF00B0F0"/>
        <bgColor indexed="64"/>
      </patternFill>
    </fill>
    <fill>
      <patternFill patternType="solid">
        <fgColor rgb="FFFF0000"/>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9"/>
      </bottom>
      <diagonal/>
    </border>
    <border>
      <left style="thin">
        <color indexed="64"/>
      </left>
      <right style="medium">
        <color indexed="64"/>
      </right>
      <top style="thin">
        <color indexed="9"/>
      </top>
      <bottom style="thin">
        <color indexed="9"/>
      </bottom>
      <diagonal/>
    </border>
    <border>
      <left style="thin">
        <color indexed="64"/>
      </left>
      <right style="medium">
        <color indexed="64"/>
      </right>
      <top style="thin">
        <color indexed="9"/>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3">
    <xf numFmtId="0" fontId="0" fillId="0" borderId="0"/>
    <xf numFmtId="43" fontId="2" fillId="0" borderId="0" applyFont="0" applyFill="0" applyBorder="0" applyAlignment="0" applyProtection="0"/>
    <xf numFmtId="44" fontId="2" fillId="0" borderId="0" applyFont="0" applyFill="0" applyBorder="0" applyAlignment="0" applyProtection="0"/>
  </cellStyleXfs>
  <cellXfs count="48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xf numFmtId="0" fontId="9" fillId="0" borderId="0" xfId="0" applyFont="1"/>
    <xf numFmtId="0" fontId="11" fillId="0" borderId="0" xfId="0" applyFon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0" borderId="0" xfId="0" applyBorder="1"/>
    <xf numFmtId="0" fontId="0" fillId="3" borderId="0" xfId="0" applyFill="1" applyBorder="1"/>
    <xf numFmtId="0" fontId="0" fillId="2" borderId="5" xfId="0" applyFill="1" applyBorder="1"/>
    <xf numFmtId="0" fontId="0" fillId="2" borderId="0" xfId="0" applyFill="1" applyBorder="1"/>
    <xf numFmtId="0" fontId="0" fillId="2" borderId="6" xfId="0" applyFill="1" applyBorder="1"/>
    <xf numFmtId="0" fontId="0" fillId="2" borderId="7" xfId="0" applyFill="1" applyBorder="1"/>
    <xf numFmtId="0" fontId="0" fillId="2" borderId="8" xfId="0" applyFill="1" applyBorder="1"/>
    <xf numFmtId="0" fontId="0" fillId="0" borderId="0" xfId="0" applyAlignment="1">
      <alignment horizontal="center"/>
    </xf>
    <xf numFmtId="0" fontId="14" fillId="0" borderId="0" xfId="0" applyFont="1" applyAlignment="1">
      <alignment vertical="center" textRotation="90"/>
    </xf>
    <xf numFmtId="0" fontId="14" fillId="0" borderId="0" xfId="0" applyFont="1" applyAlignment="1">
      <alignment horizontal="center" vertical="center" textRotation="90"/>
    </xf>
    <xf numFmtId="0" fontId="18" fillId="4" borderId="9" xfId="0" applyFont="1" applyFill="1" applyBorder="1" applyAlignment="1">
      <alignment horizontal="center" vertical="center"/>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0" xfId="0" applyFont="1" applyFill="1" applyBorder="1" applyAlignment="1">
      <alignment horizontal="center" vertical="center"/>
    </xf>
    <xf numFmtId="0" fontId="16" fillId="0" borderId="9"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6" fillId="0" borderId="1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6" fillId="0" borderId="0" xfId="0" applyFont="1" applyAlignment="1">
      <alignment horizontal="center"/>
    </xf>
    <xf numFmtId="20" fontId="0" fillId="0" borderId="0" xfId="0" applyNumberFormat="1"/>
    <xf numFmtId="14" fontId="16" fillId="0" borderId="0" xfId="0" applyNumberFormat="1" applyFont="1" applyAlignment="1">
      <alignment horizontal="center"/>
    </xf>
    <xf numFmtId="0" fontId="0" fillId="0" borderId="0" xfId="0" applyAlignment="1">
      <alignment vertical="top"/>
    </xf>
    <xf numFmtId="0" fontId="16" fillId="0" borderId="0" xfId="0" applyFont="1"/>
    <xf numFmtId="0" fontId="20" fillId="5" borderId="0" xfId="0" applyFont="1" applyFill="1"/>
    <xf numFmtId="0" fontId="0" fillId="7" borderId="1" xfId="0" applyFill="1" applyBorder="1"/>
    <xf numFmtId="0" fontId="0" fillId="7" borderId="2" xfId="0" applyFill="1" applyBorder="1"/>
    <xf numFmtId="0" fontId="0" fillId="7" borderId="4" xfId="0" applyFill="1" applyBorder="1"/>
    <xf numFmtId="0" fontId="0" fillId="7" borderId="0" xfId="0" applyFill="1" applyBorder="1"/>
    <xf numFmtId="0" fontId="0" fillId="7" borderId="6" xfId="0" applyFill="1" applyBorder="1"/>
    <xf numFmtId="0" fontId="0" fillId="7" borderId="7" xfId="0" applyFill="1" applyBorder="1"/>
    <xf numFmtId="0" fontId="0" fillId="7" borderId="3" xfId="0" applyFill="1" applyBorder="1"/>
    <xf numFmtId="0" fontId="0" fillId="7" borderId="5" xfId="0" applyFill="1" applyBorder="1"/>
    <xf numFmtId="0" fontId="0" fillId="7" borderId="8" xfId="0" applyFill="1" applyBorder="1"/>
    <xf numFmtId="0" fontId="0" fillId="0" borderId="0" xfId="0" applyFill="1" applyBorder="1"/>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19" fillId="8" borderId="14" xfId="0" applyFont="1" applyFill="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18" fillId="0" borderId="15" xfId="0" applyFont="1" applyBorder="1" applyAlignment="1">
      <alignment horizontal="center" vertical="center"/>
    </xf>
    <xf numFmtId="0" fontId="21" fillId="0" borderId="18" xfId="0" applyFont="1" applyBorder="1" applyAlignment="1">
      <alignment horizontal="center" vertical="center"/>
    </xf>
    <xf numFmtId="0" fontId="19" fillId="8" borderId="16" xfId="0" applyFont="1" applyFill="1" applyBorder="1" applyAlignment="1">
      <alignment horizontal="center"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19" fillId="8" borderId="18" xfId="0" applyFont="1" applyFill="1" applyBorder="1" applyAlignment="1">
      <alignment horizontal="center" vertical="center"/>
    </xf>
    <xf numFmtId="0" fontId="18" fillId="0" borderId="2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vertical="center"/>
    </xf>
    <xf numFmtId="0" fontId="19" fillId="8" borderId="21" xfId="0" applyFont="1" applyFill="1" applyBorder="1" applyAlignment="1">
      <alignment horizontal="center" vertical="center"/>
    </xf>
    <xf numFmtId="0" fontId="21" fillId="0" borderId="12" xfId="0" applyFont="1" applyBorder="1" applyAlignment="1">
      <alignment horizontal="center" vertical="center"/>
    </xf>
    <xf numFmtId="0" fontId="12" fillId="5" borderId="22" xfId="0" applyFont="1" applyFill="1" applyBorder="1" applyAlignment="1">
      <alignment horizontal="center"/>
    </xf>
    <xf numFmtId="0" fontId="0" fillId="2" borderId="23" xfId="0" applyFill="1" applyBorder="1"/>
    <xf numFmtId="0" fontId="0" fillId="2" borderId="24" xfId="0" applyFill="1" applyBorder="1" applyAlignment="1">
      <alignment horizontal="justify" vertical="top" wrapText="1"/>
    </xf>
    <xf numFmtId="0" fontId="0" fillId="2" borderId="24" xfId="0" applyFill="1" applyBorder="1"/>
    <xf numFmtId="0" fontId="0" fillId="2" borderId="25" xfId="0" applyFill="1" applyBorder="1"/>
    <xf numFmtId="0" fontId="12" fillId="5" borderId="24" xfId="0" applyFont="1" applyFill="1" applyBorder="1" applyAlignment="1">
      <alignment horizontal="justify" vertical="top" wrapText="1"/>
    </xf>
    <xf numFmtId="0" fontId="22" fillId="0" borderId="0" xfId="0" applyFont="1"/>
    <xf numFmtId="0" fontId="24" fillId="2" borderId="26" xfId="0" applyNumberFormat="1" applyFont="1" applyFill="1" applyBorder="1" applyAlignment="1">
      <alignment horizontal="center"/>
    </xf>
    <xf numFmtId="0" fontId="25" fillId="0" borderId="13" xfId="0" applyFont="1" applyBorder="1" applyAlignment="1">
      <alignment horizontal="center"/>
    </xf>
    <xf numFmtId="0" fontId="0" fillId="0" borderId="17" xfId="0" applyNumberFormat="1" applyBorder="1" applyAlignment="1">
      <alignment horizontal="left"/>
    </xf>
    <xf numFmtId="0" fontId="0" fillId="0" borderId="17" xfId="0" applyNumberFormat="1" applyBorder="1" applyAlignment="1">
      <alignment horizontal="center"/>
    </xf>
    <xf numFmtId="0" fontId="0" fillId="0" borderId="17" xfId="0" applyNumberFormat="1" applyBorder="1" applyAlignment="1">
      <alignment horizontal="right"/>
    </xf>
    <xf numFmtId="0" fontId="25" fillId="0" borderId="15" xfId="0" applyNumberFormat="1" applyFont="1" applyBorder="1" applyAlignment="1">
      <alignment horizontal="center"/>
    </xf>
    <xf numFmtId="0" fontId="25" fillId="0" borderId="19" xfId="0" applyFont="1" applyBorder="1" applyAlignment="1">
      <alignment horizontal="center"/>
    </xf>
    <xf numFmtId="0" fontId="0" fillId="0" borderId="9" xfId="0" applyNumberFormat="1" applyBorder="1" applyAlignment="1">
      <alignment horizontal="left"/>
    </xf>
    <xf numFmtId="0" fontId="0" fillId="0" borderId="9" xfId="0" applyNumberFormat="1" applyBorder="1" applyAlignment="1">
      <alignment horizontal="center"/>
    </xf>
    <xf numFmtId="0" fontId="0" fillId="0" borderId="9" xfId="0" applyNumberFormat="1" applyBorder="1" applyAlignment="1">
      <alignment horizontal="right"/>
    </xf>
    <xf numFmtId="0" fontId="25" fillId="0" borderId="10" xfId="0" applyNumberFormat="1" applyFont="1" applyBorder="1" applyAlignment="1">
      <alignment horizontal="center"/>
    </xf>
    <xf numFmtId="0" fontId="25" fillId="0" borderId="20" xfId="0" applyFont="1" applyBorder="1" applyAlignment="1">
      <alignment horizontal="center"/>
    </xf>
    <xf numFmtId="0" fontId="0" fillId="0" borderId="11" xfId="0" applyNumberFormat="1" applyBorder="1" applyAlignment="1">
      <alignment horizontal="left"/>
    </xf>
    <xf numFmtId="0" fontId="0" fillId="0" borderId="11" xfId="0" applyNumberFormat="1" applyBorder="1" applyAlignment="1">
      <alignment horizontal="center"/>
    </xf>
    <xf numFmtId="0" fontId="0" fillId="0" borderId="11" xfId="0" applyNumberFormat="1" applyBorder="1" applyAlignment="1">
      <alignment horizontal="right"/>
    </xf>
    <xf numFmtId="0" fontId="25" fillId="0" borderId="12" xfId="0" applyNumberFormat="1" applyFont="1" applyBorder="1" applyAlignment="1">
      <alignment horizontal="center"/>
    </xf>
    <xf numFmtId="0" fontId="0" fillId="0" borderId="17" xfId="0" applyBorder="1" applyAlignment="1">
      <alignment horizontal="center"/>
    </xf>
    <xf numFmtId="0" fontId="0" fillId="0" borderId="17" xfId="0" applyBorder="1" applyAlignment="1">
      <alignment horizontal="left"/>
    </xf>
    <xf numFmtId="0" fontId="0" fillId="0" borderId="15" xfId="0" applyBorder="1" applyAlignment="1">
      <alignment horizontal="center"/>
    </xf>
    <xf numFmtId="0" fontId="0" fillId="0" borderId="9" xfId="0" applyBorder="1"/>
    <xf numFmtId="0" fontId="0" fillId="0" borderId="9" xfId="0" applyBorder="1" applyAlignment="1">
      <alignment horizontal="left"/>
    </xf>
    <xf numFmtId="0" fontId="25" fillId="0" borderId="10" xfId="0" applyFont="1" applyBorder="1" applyAlignment="1">
      <alignment horizontal="center"/>
    </xf>
    <xf numFmtId="0" fontId="0" fillId="0" borderId="11" xfId="0" applyBorder="1"/>
    <xf numFmtId="0" fontId="0" fillId="0" borderId="11" xfId="0" applyBorder="1" applyAlignment="1">
      <alignment horizontal="left"/>
    </xf>
    <xf numFmtId="0" fontId="25" fillId="0" borderId="12" xfId="0" applyFont="1" applyBorder="1" applyAlignment="1">
      <alignment horizontal="center"/>
    </xf>
    <xf numFmtId="0" fontId="0" fillId="0" borderId="17" xfId="0" applyBorder="1"/>
    <xf numFmtId="0" fontId="25" fillId="0" borderId="15" xfId="0" applyFont="1" applyBorder="1" applyAlignment="1">
      <alignment horizontal="center"/>
    </xf>
    <xf numFmtId="0" fontId="25" fillId="0" borderId="27" xfId="0" applyFont="1" applyBorder="1" applyAlignment="1">
      <alignment horizontal="center"/>
    </xf>
    <xf numFmtId="0" fontId="0" fillId="0" borderId="28" xfId="0" applyBorder="1"/>
    <xf numFmtId="0" fontId="0" fillId="0" borderId="28" xfId="0" applyBorder="1" applyAlignment="1">
      <alignment horizontal="center"/>
    </xf>
    <xf numFmtId="0" fontId="0" fillId="0" borderId="28" xfId="0" applyBorder="1" applyAlignment="1">
      <alignment horizontal="left"/>
    </xf>
    <xf numFmtId="0" fontId="25" fillId="0" borderId="29" xfId="0" applyFont="1" applyBorder="1" applyAlignment="1">
      <alignment horizontal="center"/>
    </xf>
    <xf numFmtId="0" fontId="26" fillId="0" borderId="0" xfId="0" applyFont="1" applyAlignment="1">
      <alignment horizontal="center"/>
    </xf>
    <xf numFmtId="0" fontId="0" fillId="0" borderId="0" xfId="0" applyAlignment="1">
      <alignment horizontal="left"/>
    </xf>
    <xf numFmtId="0" fontId="24" fillId="0" borderId="0" xfId="0" applyFont="1" applyAlignment="1">
      <alignment horizontal="center"/>
    </xf>
    <xf numFmtId="0" fontId="0" fillId="0" borderId="26" xfId="0" applyBorder="1"/>
    <xf numFmtId="0" fontId="0" fillId="0" borderId="26" xfId="0" applyBorder="1" applyAlignment="1">
      <alignment horizontal="center"/>
    </xf>
    <xf numFmtId="0" fontId="0" fillId="0" borderId="26" xfId="0" applyBorder="1" applyAlignment="1">
      <alignment horizontal="left"/>
    </xf>
    <xf numFmtId="0" fontId="25" fillId="0" borderId="30" xfId="0" applyFont="1" applyBorder="1" applyAlignment="1">
      <alignment horizontal="center"/>
    </xf>
    <xf numFmtId="0" fontId="25" fillId="0" borderId="31" xfId="0" applyFont="1" applyBorder="1" applyAlignment="1">
      <alignment horizontal="center"/>
    </xf>
    <xf numFmtId="14" fontId="0" fillId="0" borderId="0" xfId="0" applyNumberFormat="1"/>
    <xf numFmtId="0" fontId="0" fillId="10" borderId="1" xfId="0" applyFill="1" applyBorder="1"/>
    <xf numFmtId="0" fontId="0" fillId="10" borderId="2" xfId="0" applyFill="1" applyBorder="1"/>
    <xf numFmtId="0" fontId="0" fillId="10" borderId="3" xfId="0" applyFill="1" applyBorder="1"/>
    <xf numFmtId="0" fontId="0" fillId="10" borderId="4" xfId="0" applyFill="1" applyBorder="1"/>
    <xf numFmtId="0" fontId="0" fillId="10" borderId="5" xfId="0" applyFill="1" applyBorder="1"/>
    <xf numFmtId="0" fontId="0" fillId="10" borderId="6" xfId="0" applyFill="1" applyBorder="1"/>
    <xf numFmtId="0" fontId="0" fillId="10" borderId="7" xfId="0" applyFill="1" applyBorder="1"/>
    <xf numFmtId="0" fontId="0" fillId="10" borderId="8" xfId="0" applyFill="1" applyBorder="1"/>
    <xf numFmtId="20" fontId="0" fillId="0" borderId="0" xfId="0" applyNumberFormat="1" applyAlignment="1">
      <alignment horizontal="center"/>
    </xf>
    <xf numFmtId="0" fontId="18" fillId="0" borderId="9" xfId="0" applyFont="1" applyBorder="1" applyAlignment="1">
      <alignment horizontal="center" vertical="center"/>
    </xf>
    <xf numFmtId="0" fontId="19" fillId="0" borderId="9" xfId="0" applyFont="1" applyBorder="1" applyAlignment="1">
      <alignment horizontal="center" vertical="center" wrapText="1"/>
    </xf>
    <xf numFmtId="15" fontId="16" fillId="0" borderId="9" xfId="0" applyNumberFormat="1" applyFont="1" applyBorder="1" applyAlignment="1">
      <alignment horizontal="center"/>
    </xf>
    <xf numFmtId="0" fontId="16" fillId="0" borderId="0" xfId="0" applyFont="1" applyFill="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15" fontId="16" fillId="0" borderId="11" xfId="0" applyNumberFormat="1" applyFont="1" applyBorder="1" applyAlignment="1">
      <alignment horizontal="center"/>
    </xf>
    <xf numFmtId="0" fontId="30" fillId="0" borderId="0" xfId="0" applyFont="1"/>
    <xf numFmtId="0" fontId="31" fillId="0" borderId="0" xfId="0" applyFont="1"/>
    <xf numFmtId="0" fontId="0" fillId="0" borderId="0" xfId="0" applyAlignment="1">
      <alignment horizontal="center" vertical="center"/>
    </xf>
    <xf numFmtId="20" fontId="0" fillId="0" borderId="9" xfId="0" applyNumberFormat="1" applyBorder="1" applyAlignment="1">
      <alignment horizontal="center"/>
    </xf>
    <xf numFmtId="20" fontId="0" fillId="0" borderId="19" xfId="0" applyNumberFormat="1" applyBorder="1" applyAlignment="1">
      <alignment horizontal="center"/>
    </xf>
    <xf numFmtId="20" fontId="0" fillId="0" borderId="20" xfId="0" applyNumberFormat="1" applyBorder="1" applyAlignment="1">
      <alignment horizontal="center"/>
    </xf>
    <xf numFmtId="20" fontId="0" fillId="0" borderId="11" xfId="0" applyNumberFormat="1" applyBorder="1" applyAlignment="1">
      <alignment horizontal="center"/>
    </xf>
    <xf numFmtId="0" fontId="0" fillId="0" borderId="9" xfId="0" applyBorder="1" applyAlignment="1">
      <alignment horizontal="center" vertical="center"/>
    </xf>
    <xf numFmtId="0" fontId="16" fillId="4" borderId="13" xfId="0" applyFon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wrapText="1"/>
    </xf>
    <xf numFmtId="0" fontId="0" fillId="0" borderId="27" xfId="0" applyBorder="1" applyAlignment="1">
      <alignment horizontal="center" vertical="center"/>
    </xf>
    <xf numFmtId="0" fontId="16" fillId="4" borderId="20" xfId="0" applyFont="1" applyFill="1" applyBorder="1" applyAlignment="1">
      <alignment horizontal="center" vertical="center"/>
    </xf>
    <xf numFmtId="0" fontId="16" fillId="4" borderId="32" xfId="0" applyFont="1" applyFill="1" applyBorder="1" applyAlignment="1">
      <alignment horizontal="center" vertical="center"/>
    </xf>
    <xf numFmtId="20" fontId="0" fillId="0" borderId="27" xfId="0" applyNumberFormat="1" applyBorder="1" applyAlignment="1">
      <alignment horizontal="center"/>
    </xf>
    <xf numFmtId="20" fontId="0" fillId="0" borderId="28" xfId="0" applyNumberFormat="1" applyBorder="1" applyAlignment="1">
      <alignment horizontal="center"/>
    </xf>
    <xf numFmtId="0" fontId="0" fillId="0" borderId="29" xfId="0" applyBorder="1" applyAlignment="1">
      <alignment horizontal="center"/>
    </xf>
    <xf numFmtId="0" fontId="16" fillId="4" borderId="20" xfId="0" applyFont="1" applyFill="1" applyBorder="1" applyAlignment="1">
      <alignment horizontal="center"/>
    </xf>
    <xf numFmtId="0" fontId="16" fillId="4" borderId="11" xfId="0" applyFont="1" applyFill="1" applyBorder="1" applyAlignment="1">
      <alignment horizontal="center"/>
    </xf>
    <xf numFmtId="0" fontId="16" fillId="4" borderId="19" xfId="0" applyFont="1" applyFill="1" applyBorder="1" applyAlignment="1">
      <alignment horizontal="center" vertical="center"/>
    </xf>
    <xf numFmtId="0" fontId="16" fillId="4" borderId="36" xfId="0" applyFont="1" applyFill="1" applyBorder="1" applyAlignment="1">
      <alignment horizontal="center" vertical="center" wrapText="1"/>
    </xf>
    <xf numFmtId="0" fontId="0" fillId="0" borderId="29" xfId="0" applyBorder="1" applyAlignment="1">
      <alignment horizontal="justify" vertical="center" wrapText="1"/>
    </xf>
    <xf numFmtId="0" fontId="0" fillId="0" borderId="10" xfId="0" applyBorder="1" applyAlignment="1">
      <alignment horizontal="justify" vertical="center" wrapText="1"/>
    </xf>
    <xf numFmtId="0" fontId="0" fillId="0" borderId="12" xfId="0" applyBorder="1" applyAlignment="1">
      <alignment horizontal="justify" vertical="center" wrapText="1"/>
    </xf>
    <xf numFmtId="0" fontId="12" fillId="5" borderId="22" xfId="0" applyFont="1" applyFill="1" applyBorder="1" applyAlignment="1">
      <alignment horizontal="center" vertical="center" textRotation="90" wrapText="1"/>
    </xf>
    <xf numFmtId="0" fontId="0" fillId="0" borderId="13" xfId="0" applyBorder="1" applyAlignment="1">
      <alignment vertical="center"/>
    </xf>
    <xf numFmtId="0" fontId="0" fillId="0" borderId="17" xfId="0" applyBorder="1" applyAlignment="1">
      <alignment horizontal="center" vertical="center"/>
    </xf>
    <xf numFmtId="0" fontId="0" fillId="0" borderId="15"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2" fillId="6" borderId="22" xfId="0" applyFont="1" applyFill="1" applyBorder="1" applyAlignment="1">
      <alignment horizontal="center" vertical="center" textRotation="90" wrapText="1"/>
    </xf>
    <xf numFmtId="0" fontId="16" fillId="4" borderId="9" xfId="0" applyFont="1" applyFill="1" applyBorder="1" applyAlignment="1">
      <alignment horizontal="center"/>
    </xf>
    <xf numFmtId="0" fontId="33" fillId="11" borderId="9" xfId="0" applyFont="1" applyFill="1" applyBorder="1" applyAlignment="1">
      <alignment horizontal="center"/>
    </xf>
    <xf numFmtId="0" fontId="16"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justify" vertical="center" wrapText="1"/>
    </xf>
    <xf numFmtId="0" fontId="0" fillId="0" borderId="0" xfId="0" applyAlignment="1">
      <alignment horizontal="left" vertical="center" wrapText="1"/>
    </xf>
    <xf numFmtId="0" fontId="1" fillId="0" borderId="0" xfId="0" applyFont="1" applyAlignment="1">
      <alignment horizontal="center"/>
    </xf>
    <xf numFmtId="0" fontId="1" fillId="0" borderId="0" xfId="0" applyFont="1"/>
    <xf numFmtId="0" fontId="36" fillId="0" borderId="0" xfId="0" applyFont="1" applyAlignment="1">
      <alignment horizontal="center" vertical="center" wrapText="1"/>
    </xf>
    <xf numFmtId="0" fontId="37" fillId="0" borderId="0" xfId="0" applyFont="1" applyBorder="1" applyAlignment="1">
      <alignment horizontal="left" vertical="top" wrapText="1"/>
    </xf>
    <xf numFmtId="0" fontId="37" fillId="0" borderId="0" xfId="0" applyFont="1"/>
    <xf numFmtId="0" fontId="37" fillId="0" borderId="0" xfId="0" applyFont="1" applyAlignment="1">
      <alignment horizontal="center"/>
    </xf>
    <xf numFmtId="0" fontId="37" fillId="0" borderId="0" xfId="0" applyFont="1" applyAlignment="1">
      <alignment vertical="center" wrapText="1"/>
    </xf>
    <xf numFmtId="0" fontId="16" fillId="0" borderId="0" xfId="0" applyFont="1" applyAlignment="1">
      <alignment horizontal="center" vertical="center"/>
    </xf>
    <xf numFmtId="0" fontId="16" fillId="0" borderId="0" xfId="0" applyFont="1" applyFill="1" applyBorder="1" applyAlignment="1">
      <alignment horizontal="center" vertical="center" wrapText="1"/>
    </xf>
    <xf numFmtId="0" fontId="37" fillId="0" borderId="0" xfId="0" applyFont="1" applyBorder="1" applyAlignment="1">
      <alignment horizontal="justify" vertical="top" wrapText="1"/>
    </xf>
    <xf numFmtId="0" fontId="25" fillId="0" borderId="27" xfId="0" applyFont="1" applyFill="1" applyBorder="1" applyAlignment="1">
      <alignment horizontal="center"/>
    </xf>
    <xf numFmtId="0" fontId="0" fillId="0" borderId="28" xfId="0" applyFill="1" applyBorder="1"/>
    <xf numFmtId="0" fontId="0" fillId="0" borderId="28" xfId="0" applyFill="1" applyBorder="1" applyAlignment="1">
      <alignment horizontal="center"/>
    </xf>
    <xf numFmtId="0" fontId="0" fillId="0" borderId="17" xfId="0" applyFill="1" applyBorder="1" applyAlignment="1">
      <alignment horizontal="left"/>
    </xf>
    <xf numFmtId="0" fontId="0" fillId="0" borderId="17" xfId="0" applyFill="1" applyBorder="1" applyAlignment="1">
      <alignment horizontal="center"/>
    </xf>
    <xf numFmtId="0" fontId="25" fillId="0" borderId="29" xfId="0" applyFont="1" applyFill="1" applyBorder="1" applyAlignment="1">
      <alignment horizontal="center"/>
    </xf>
    <xf numFmtId="0" fontId="25" fillId="0" borderId="19" xfId="0" applyFont="1" applyFill="1" applyBorder="1" applyAlignment="1">
      <alignment horizontal="center"/>
    </xf>
    <xf numFmtId="0" fontId="0" fillId="0" borderId="9" xfId="0" applyFill="1" applyBorder="1"/>
    <xf numFmtId="0" fontId="0" fillId="0" borderId="9" xfId="0" applyFill="1" applyBorder="1" applyAlignment="1">
      <alignment horizontal="center"/>
    </xf>
    <xf numFmtId="0" fontId="0" fillId="0" borderId="9" xfId="0" applyFill="1" applyBorder="1" applyAlignment="1">
      <alignment horizontal="left"/>
    </xf>
    <xf numFmtId="0" fontId="25" fillId="0" borderId="10" xfId="0" applyFont="1" applyFill="1" applyBorder="1" applyAlignment="1">
      <alignment horizontal="center"/>
    </xf>
    <xf numFmtId="0" fontId="25" fillId="0" borderId="20" xfId="0" applyFont="1" applyFill="1" applyBorder="1" applyAlignment="1">
      <alignment horizontal="center"/>
    </xf>
    <xf numFmtId="0" fontId="0" fillId="0" borderId="11" xfId="0" applyFill="1" applyBorder="1"/>
    <xf numFmtId="0" fontId="0" fillId="0" borderId="11" xfId="0" applyFill="1" applyBorder="1" applyAlignment="1">
      <alignment horizontal="center"/>
    </xf>
    <xf numFmtId="0" fontId="0" fillId="0" borderId="11" xfId="0" applyFill="1" applyBorder="1" applyAlignment="1">
      <alignment horizontal="left"/>
    </xf>
    <xf numFmtId="0" fontId="25" fillId="0" borderId="12" xfId="0" applyFont="1" applyFill="1" applyBorder="1" applyAlignment="1">
      <alignment horizontal="center"/>
    </xf>
    <xf numFmtId="0" fontId="38" fillId="7" borderId="0" xfId="0" applyFont="1" applyFill="1" applyBorder="1" applyAlignment="1">
      <alignment horizontal="center"/>
    </xf>
    <xf numFmtId="0" fontId="0" fillId="0" borderId="0" xfId="0" applyAlignment="1">
      <alignment horizontal="center" vertical="top"/>
    </xf>
    <xf numFmtId="0" fontId="42" fillId="5" borderId="26" xfId="0" applyFont="1" applyFill="1" applyBorder="1" applyAlignment="1">
      <alignment horizontal="center" vertical="center"/>
    </xf>
    <xf numFmtId="0" fontId="33" fillId="2" borderId="13" xfId="0" applyFont="1" applyFill="1" applyBorder="1" applyAlignment="1">
      <alignment horizontal="center" vertical="center"/>
    </xf>
    <xf numFmtId="0" fontId="12" fillId="9" borderId="15" xfId="0" applyFont="1" applyFill="1" applyBorder="1" applyAlignment="1">
      <alignment horizontal="center" vertical="center"/>
    </xf>
    <xf numFmtId="3" fontId="12" fillId="6" borderId="12" xfId="0" applyNumberFormat="1" applyFont="1" applyFill="1" applyBorder="1" applyAlignment="1">
      <alignment horizontal="center"/>
    </xf>
    <xf numFmtId="0" fontId="2" fillId="0" borderId="0" xfId="0" applyFont="1"/>
    <xf numFmtId="0" fontId="2" fillId="13" borderId="0" xfId="0" applyFont="1" applyFill="1"/>
    <xf numFmtId="0" fontId="44" fillId="0" borderId="0" xfId="0" applyFont="1"/>
    <xf numFmtId="0" fontId="0" fillId="0" borderId="27" xfId="0" applyBorder="1" applyAlignment="1">
      <alignment vertical="center"/>
    </xf>
    <xf numFmtId="0" fontId="0" fillId="0" borderId="28" xfId="0" applyBorder="1" applyAlignment="1">
      <alignment horizontal="center" vertical="center"/>
    </xf>
    <xf numFmtId="0" fontId="0" fillId="0" borderId="29" xfId="0" applyBorder="1" applyAlignment="1">
      <alignment vertical="center" wrapText="1"/>
    </xf>
    <xf numFmtId="0" fontId="18" fillId="0" borderId="15" xfId="0" applyFont="1" applyBorder="1" applyAlignment="1">
      <alignment horizontal="center" vertical="center" wrapText="1"/>
    </xf>
    <xf numFmtId="0" fontId="18" fillId="0" borderId="29" xfId="0" applyFont="1" applyBorder="1" applyAlignment="1">
      <alignment horizontal="center" vertical="center" wrapText="1"/>
    </xf>
    <xf numFmtId="0" fontId="0" fillId="0" borderId="30" xfId="0" applyBorder="1" applyAlignment="1">
      <alignment vertical="center"/>
    </xf>
    <xf numFmtId="0" fontId="0" fillId="0" borderId="26" xfId="0" applyBorder="1" applyAlignment="1">
      <alignment horizontal="center" vertical="center"/>
    </xf>
    <xf numFmtId="0" fontId="2" fillId="0" borderId="9" xfId="0" applyFont="1" applyBorder="1" applyAlignment="1">
      <alignment horizontal="center" vertical="center"/>
    </xf>
    <xf numFmtId="0" fontId="18" fillId="0" borderId="10" xfId="0" applyFont="1" applyBorder="1" applyAlignment="1">
      <alignment horizontal="center" vertical="center" wrapText="1"/>
    </xf>
    <xf numFmtId="0" fontId="18" fillId="0" borderId="12" xfId="0" applyFont="1" applyBorder="1" applyAlignment="1">
      <alignment horizontal="center" vertical="center" wrapText="1"/>
    </xf>
    <xf numFmtId="0" fontId="2" fillId="0" borderId="29" xfId="0" applyFont="1" applyBorder="1" applyAlignment="1">
      <alignment vertical="center" wrapText="1"/>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45" fillId="0" borderId="0" xfId="0" applyFont="1" applyAlignment="1">
      <alignment horizontal="right" vertical="center"/>
    </xf>
    <xf numFmtId="0" fontId="43" fillId="0" borderId="0" xfId="0" applyFont="1" applyAlignment="1">
      <alignment horizontal="right" vertical="center"/>
    </xf>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6" fillId="0" borderId="27" xfId="0" applyFont="1" applyBorder="1" applyAlignment="1">
      <alignment horizontal="center" vertical="center"/>
    </xf>
    <xf numFmtId="0" fontId="0" fillId="0" borderId="42" xfId="0" applyBorder="1"/>
    <xf numFmtId="0" fontId="46" fillId="13" borderId="43" xfId="0" applyFont="1" applyFill="1" applyBorder="1" applyAlignment="1">
      <alignment horizontal="center"/>
    </xf>
    <xf numFmtId="0" fontId="46" fillId="13" borderId="22" xfId="0" applyFont="1" applyFill="1" applyBorder="1" applyAlignment="1">
      <alignment horizontal="center"/>
    </xf>
    <xf numFmtId="0" fontId="46" fillId="13" borderId="22" xfId="0" applyFont="1" applyFill="1" applyBorder="1" applyAlignment="1">
      <alignment horizontal="center" vertical="center"/>
    </xf>
    <xf numFmtId="0" fontId="25"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0" fontId="20" fillId="15" borderId="9" xfId="0" applyFont="1" applyFill="1" applyBorder="1" applyAlignment="1">
      <alignment horizontal="center" vertical="center"/>
    </xf>
    <xf numFmtId="0" fontId="12" fillId="16" borderId="33" xfId="0" applyFont="1" applyFill="1" applyBorder="1" applyAlignment="1">
      <alignment horizontal="center" vertical="center"/>
    </xf>
    <xf numFmtId="0" fontId="12" fillId="16" borderId="34" xfId="0" applyFont="1" applyFill="1" applyBorder="1" applyAlignment="1">
      <alignment horizontal="center" vertical="center"/>
    </xf>
    <xf numFmtId="0" fontId="12" fillId="16" borderId="35"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19" fillId="8" borderId="14" xfId="0" applyFont="1" applyFill="1" applyBorder="1" applyAlignment="1">
      <alignment horizontal="center" vertical="center"/>
    </xf>
    <xf numFmtId="0" fontId="18" fillId="0" borderId="17" xfId="0" applyFont="1" applyBorder="1" applyAlignment="1">
      <alignment horizontal="center" vertical="center"/>
    </xf>
    <xf numFmtId="0" fontId="12" fillId="6" borderId="44" xfId="0" applyFont="1" applyFill="1" applyBorder="1" applyAlignment="1">
      <alignment horizontal="right"/>
    </xf>
    <xf numFmtId="0" fontId="12" fillId="6" borderId="45" xfId="0" applyFont="1" applyFill="1" applyBorder="1" applyAlignment="1">
      <alignment horizontal="right"/>
    </xf>
    <xf numFmtId="0" fontId="12" fillId="6" borderId="46" xfId="0" applyFont="1" applyFill="1" applyBorder="1" applyAlignment="1">
      <alignment horizontal="right"/>
    </xf>
    <xf numFmtId="3" fontId="20" fillId="9" borderId="9" xfId="0" applyNumberFormat="1" applyFont="1" applyFill="1" applyBorder="1" applyAlignment="1">
      <alignment horizontal="center" vertical="center"/>
    </xf>
    <xf numFmtId="0" fontId="20" fillId="9" borderId="9" xfId="0" applyFont="1" applyFill="1" applyBorder="1" applyAlignment="1">
      <alignment horizontal="center" vertical="center"/>
    </xf>
    <xf numFmtId="14" fontId="33" fillId="0" borderId="17" xfId="0" applyNumberFormat="1" applyFont="1" applyFill="1" applyBorder="1" applyAlignment="1">
      <alignment horizontal="center" vertical="center"/>
    </xf>
    <xf numFmtId="0" fontId="33" fillId="0" borderId="17" xfId="0" applyFont="1" applyFill="1" applyBorder="1" applyAlignment="1">
      <alignment horizontal="center" vertical="center"/>
    </xf>
    <xf numFmtId="0" fontId="41" fillId="5" borderId="23" xfId="0" applyFont="1" applyFill="1" applyBorder="1" applyAlignment="1">
      <alignment horizontal="center" vertical="center" textRotation="90"/>
    </xf>
    <xf numFmtId="0" fontId="41" fillId="5" borderId="24" xfId="0" applyFont="1" applyFill="1" applyBorder="1" applyAlignment="1">
      <alignment horizontal="center" vertical="center" textRotation="90"/>
    </xf>
    <xf numFmtId="0" fontId="41" fillId="5" borderId="25" xfId="0" applyFont="1" applyFill="1" applyBorder="1" applyAlignment="1">
      <alignment horizontal="center" vertical="center" textRotation="90"/>
    </xf>
    <xf numFmtId="0" fontId="0" fillId="2" borderId="1" xfId="0" applyFill="1" applyBorder="1" applyAlignment="1">
      <alignment horizontal="justify" vertical="top" wrapText="1"/>
    </xf>
    <xf numFmtId="0" fontId="0" fillId="2" borderId="2" xfId="0" applyFill="1" applyBorder="1" applyAlignment="1">
      <alignment horizontal="justify" vertical="top" wrapText="1"/>
    </xf>
    <xf numFmtId="0" fontId="0" fillId="2" borderId="3" xfId="0" applyFill="1" applyBorder="1" applyAlignment="1">
      <alignment horizontal="justify" vertical="top" wrapText="1"/>
    </xf>
    <xf numFmtId="0" fontId="0" fillId="2" borderId="4" xfId="0" applyFill="1" applyBorder="1" applyAlignment="1">
      <alignment horizontal="justify" vertical="top" wrapText="1"/>
    </xf>
    <xf numFmtId="0" fontId="0" fillId="2" borderId="0" xfId="0" applyFill="1" applyBorder="1" applyAlignment="1">
      <alignment horizontal="justify" vertical="top" wrapText="1"/>
    </xf>
    <xf numFmtId="0" fontId="0" fillId="2" borderId="5" xfId="0" applyFill="1" applyBorder="1" applyAlignment="1">
      <alignment horizontal="justify" vertical="top" wrapText="1"/>
    </xf>
    <xf numFmtId="0" fontId="12" fillId="5" borderId="23" xfId="0" applyFont="1" applyFill="1" applyBorder="1" applyAlignment="1">
      <alignment horizontal="center" vertical="center" textRotation="90"/>
    </xf>
    <xf numFmtId="0" fontId="12" fillId="5" borderId="24" xfId="0" applyFont="1" applyFill="1" applyBorder="1" applyAlignment="1">
      <alignment horizontal="center" vertical="center" textRotation="90"/>
    </xf>
    <xf numFmtId="0" fontId="12" fillId="5" borderId="25" xfId="0" applyFont="1" applyFill="1" applyBorder="1" applyAlignment="1">
      <alignment horizontal="center" vertical="center" textRotation="90"/>
    </xf>
    <xf numFmtId="0" fontId="12" fillId="5" borderId="5" xfId="0" applyFont="1" applyFill="1" applyBorder="1" applyAlignment="1">
      <alignment horizontal="center" vertical="center" textRotation="90"/>
    </xf>
    <xf numFmtId="44" fontId="34" fillId="6" borderId="47" xfId="2" applyFont="1" applyFill="1" applyBorder="1" applyAlignment="1">
      <alignment horizontal="center" vertical="center"/>
    </xf>
    <xf numFmtId="44" fontId="34" fillId="6" borderId="48" xfId="2" applyFont="1" applyFill="1" applyBorder="1" applyAlignment="1">
      <alignment horizontal="center" vertical="center"/>
    </xf>
    <xf numFmtId="44" fontId="34" fillId="6" borderId="43" xfId="2" applyFont="1" applyFill="1" applyBorder="1" applyAlignment="1">
      <alignment horizontal="center" vertical="center"/>
    </xf>
    <xf numFmtId="0" fontId="39" fillId="5" borderId="2" xfId="0" applyFont="1" applyFill="1" applyBorder="1" applyAlignment="1">
      <alignment horizontal="center" vertical="center" textRotation="90"/>
    </xf>
    <xf numFmtId="0" fontId="39" fillId="5" borderId="3" xfId="0" applyFont="1" applyFill="1" applyBorder="1" applyAlignment="1">
      <alignment horizontal="center" vertical="center" textRotation="90"/>
    </xf>
    <xf numFmtId="0" fontId="39" fillId="5" borderId="0" xfId="0" applyFont="1" applyFill="1" applyBorder="1" applyAlignment="1">
      <alignment horizontal="center" vertical="center" textRotation="90"/>
    </xf>
    <xf numFmtId="0" fontId="39" fillId="5" borderId="5" xfId="0" applyFont="1" applyFill="1" applyBorder="1" applyAlignment="1">
      <alignment horizontal="center" vertical="center" textRotation="90"/>
    </xf>
    <xf numFmtId="0" fontId="39" fillId="5" borderId="7" xfId="0" applyFont="1" applyFill="1" applyBorder="1" applyAlignment="1">
      <alignment horizontal="center" vertical="center" textRotation="90"/>
    </xf>
    <xf numFmtId="0" fontId="39" fillId="5" borderId="8" xfId="0" applyFont="1" applyFill="1" applyBorder="1" applyAlignment="1">
      <alignment horizontal="center" vertical="center" textRotation="90"/>
    </xf>
    <xf numFmtId="0" fontId="18" fillId="0" borderId="11" xfId="0" applyFont="1" applyBorder="1" applyAlignment="1">
      <alignment horizontal="center" vertical="center"/>
    </xf>
    <xf numFmtId="3" fontId="0" fillId="7" borderId="0" xfId="1" applyNumberFormat="1" applyFont="1" applyFill="1" applyBorder="1" applyAlignment="1">
      <alignment horizontal="center"/>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6" xfId="0" applyFill="1" applyBorder="1" applyAlignment="1">
      <alignment horizontal="justify" vertical="top" wrapText="1"/>
    </xf>
    <xf numFmtId="0" fontId="0" fillId="2" borderId="7" xfId="0" applyFill="1" applyBorder="1" applyAlignment="1">
      <alignment horizontal="justify" vertical="top" wrapText="1"/>
    </xf>
    <xf numFmtId="0" fontId="0" fillId="2" borderId="8" xfId="0" applyFill="1" applyBorder="1" applyAlignment="1">
      <alignment horizontal="justify" vertical="top" wrapText="1"/>
    </xf>
    <xf numFmtId="0" fontId="34" fillId="5" borderId="47" xfId="0" applyFont="1" applyFill="1" applyBorder="1" applyAlignment="1">
      <alignment horizontal="center"/>
    </xf>
    <xf numFmtId="0" fontId="34" fillId="5" borderId="48" xfId="0" applyFont="1" applyFill="1" applyBorder="1" applyAlignment="1">
      <alignment horizontal="center"/>
    </xf>
    <xf numFmtId="0" fontId="34" fillId="5" borderId="43" xfId="0" applyFont="1" applyFill="1" applyBorder="1" applyAlignment="1">
      <alignment horizontal="center"/>
    </xf>
    <xf numFmtId="0" fontId="22" fillId="4" borderId="1" xfId="0" applyFont="1" applyFill="1" applyBorder="1" applyAlignment="1">
      <alignment horizontal="center" vertical="center" textRotation="90" wrapText="1"/>
    </xf>
    <xf numFmtId="0" fontId="22" fillId="4" borderId="4" xfId="0" applyFont="1" applyFill="1" applyBorder="1" applyAlignment="1">
      <alignment horizontal="center" vertical="center" textRotation="90" wrapText="1"/>
    </xf>
    <xf numFmtId="0" fontId="22" fillId="4" borderId="6" xfId="0" applyFont="1" applyFill="1" applyBorder="1" applyAlignment="1">
      <alignment horizontal="center" vertical="center" textRotation="90" wrapText="1"/>
    </xf>
    <xf numFmtId="0" fontId="19" fillId="8" borderId="2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6"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0" fillId="2" borderId="47" xfId="0" applyFill="1" applyBorder="1" applyAlignment="1">
      <alignment horizontal="justify" vertical="top" wrapText="1"/>
    </xf>
    <xf numFmtId="0" fontId="0" fillId="2" borderId="48" xfId="0" applyFill="1" applyBorder="1" applyAlignment="1">
      <alignment horizontal="justify" vertical="top" wrapText="1"/>
    </xf>
    <xf numFmtId="0" fontId="0" fillId="2" borderId="43" xfId="0" applyFill="1" applyBorder="1" applyAlignment="1">
      <alignment horizontal="justify" vertical="top" wrapText="1"/>
    </xf>
    <xf numFmtId="0" fontId="34" fillId="5" borderId="47" xfId="0" applyFont="1" applyFill="1" applyBorder="1" applyAlignment="1">
      <alignment horizontal="center" vertical="center"/>
    </xf>
    <xf numFmtId="0" fontId="34" fillId="5" borderId="48" xfId="0" applyFont="1" applyFill="1" applyBorder="1" applyAlignment="1">
      <alignment horizontal="center" vertical="center"/>
    </xf>
    <xf numFmtId="0" fontId="34" fillId="5" borderId="43" xfId="0" applyFont="1" applyFill="1" applyBorder="1" applyAlignment="1">
      <alignment horizontal="center" vertical="center"/>
    </xf>
    <xf numFmtId="0" fontId="12" fillId="14" borderId="1"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6"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0" fillId="2" borderId="47" xfId="0" applyFill="1" applyBorder="1" applyAlignment="1">
      <alignment horizontal="left" vertical="top" wrapText="1"/>
    </xf>
    <xf numFmtId="0" fontId="0" fillId="2" borderId="48" xfId="0" applyFill="1" applyBorder="1" applyAlignment="1">
      <alignment horizontal="left" vertical="top" wrapText="1"/>
    </xf>
    <xf numFmtId="0" fontId="0" fillId="2" borderId="43" xfId="0" applyFill="1" applyBorder="1" applyAlignment="1">
      <alignment horizontal="left" vertical="top" wrapText="1"/>
    </xf>
    <xf numFmtId="0" fontId="4" fillId="7" borderId="0" xfId="0" applyFont="1" applyFill="1" applyBorder="1" applyAlignment="1">
      <alignment horizontal="center"/>
    </xf>
    <xf numFmtId="0" fontId="0" fillId="12" borderId="47" xfId="0" applyFill="1" applyBorder="1" applyAlignment="1">
      <alignment horizontal="center" vertical="center" wrapText="1"/>
    </xf>
    <xf numFmtId="0" fontId="0" fillId="12" borderId="48" xfId="0" applyFill="1" applyBorder="1" applyAlignment="1">
      <alignment horizontal="center" vertical="center" wrapText="1"/>
    </xf>
    <xf numFmtId="0" fontId="0" fillId="12" borderId="43" xfId="0" applyFill="1" applyBorder="1" applyAlignment="1">
      <alignment horizontal="center" vertical="center" wrapText="1"/>
    </xf>
    <xf numFmtId="14" fontId="0" fillId="0" borderId="47" xfId="0" applyNumberFormat="1" applyFill="1" applyBorder="1" applyAlignment="1">
      <alignment horizontal="center" vertical="center" wrapText="1"/>
    </xf>
    <xf numFmtId="0" fontId="0" fillId="0" borderId="48" xfId="0" applyFill="1" applyBorder="1" applyAlignment="1">
      <alignment horizontal="center" vertical="center" wrapText="1"/>
    </xf>
    <xf numFmtId="0" fontId="0" fillId="0" borderId="43" xfId="0" applyFill="1" applyBorder="1" applyAlignment="1">
      <alignment horizontal="center" vertical="center" wrapText="1"/>
    </xf>
    <xf numFmtId="0" fontId="0" fillId="0" borderId="7" xfId="0" applyBorder="1" applyAlignment="1">
      <alignment horizont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15" fillId="4" borderId="1" xfId="0" applyFont="1" applyFill="1" applyBorder="1" applyAlignment="1">
      <alignment horizontal="center" vertical="center" shrinkToFit="1"/>
    </xf>
    <xf numFmtId="0" fontId="15" fillId="4" borderId="2" xfId="0" applyFont="1" applyFill="1" applyBorder="1" applyAlignment="1">
      <alignment horizontal="center" vertical="center" shrinkToFit="1"/>
    </xf>
    <xf numFmtId="0" fontId="15" fillId="4" borderId="3" xfId="0" applyFont="1" applyFill="1" applyBorder="1" applyAlignment="1">
      <alignment horizontal="center" vertical="center" shrinkToFit="1"/>
    </xf>
    <xf numFmtId="0" fontId="15" fillId="4" borderId="4" xfId="0" applyFont="1" applyFill="1" applyBorder="1" applyAlignment="1">
      <alignment horizontal="center" vertical="center" shrinkToFit="1"/>
    </xf>
    <xf numFmtId="0" fontId="15" fillId="4" borderId="0" xfId="0" applyFont="1" applyFill="1" applyBorder="1" applyAlignment="1">
      <alignment horizontal="center" vertical="center" shrinkToFit="1"/>
    </xf>
    <xf numFmtId="0" fontId="15" fillId="4" borderId="5" xfId="0" applyFont="1" applyFill="1" applyBorder="1" applyAlignment="1">
      <alignment horizontal="center" vertical="center" shrinkToFit="1"/>
    </xf>
    <xf numFmtId="0" fontId="15" fillId="4" borderId="6" xfId="0" applyFont="1" applyFill="1" applyBorder="1" applyAlignment="1">
      <alignment horizontal="center" vertical="center" shrinkToFit="1"/>
    </xf>
    <xf numFmtId="0" fontId="15" fillId="4" borderId="7" xfId="0" applyFont="1" applyFill="1" applyBorder="1" applyAlignment="1">
      <alignment horizontal="center" vertical="center" shrinkToFit="1"/>
    </xf>
    <xf numFmtId="0" fontId="15" fillId="4" borderId="8" xfId="0" applyFont="1" applyFill="1" applyBorder="1" applyAlignment="1">
      <alignment horizontal="center" vertical="center" shrinkToFit="1"/>
    </xf>
    <xf numFmtId="0" fontId="22" fillId="2" borderId="47" xfId="0" applyFont="1" applyFill="1" applyBorder="1" applyAlignment="1">
      <alignment horizontal="center"/>
    </xf>
    <xf numFmtId="0" fontId="22" fillId="2" borderId="48" xfId="0" applyFont="1" applyFill="1" applyBorder="1" applyAlignment="1">
      <alignment horizontal="center"/>
    </xf>
    <xf numFmtId="0" fontId="22" fillId="2" borderId="43" xfId="0" applyFont="1" applyFill="1" applyBorder="1" applyAlignment="1">
      <alignment horizontal="center"/>
    </xf>
    <xf numFmtId="0" fontId="20" fillId="15" borderId="9" xfId="0" applyFont="1" applyFill="1" applyBorder="1" applyAlignment="1">
      <alignment horizontal="center" vertical="center"/>
    </xf>
    <xf numFmtId="0" fontId="12" fillId="14" borderId="2"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0" xfId="0" applyFont="1" applyFill="1" applyBorder="1" applyAlignment="1">
      <alignment horizontal="center" vertical="center" wrapText="1"/>
    </xf>
    <xf numFmtId="0" fontId="12" fillId="14" borderId="5"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4" fillId="6" borderId="0" xfId="0" applyFont="1" applyFill="1" applyBorder="1" applyAlignment="1">
      <alignment horizontal="center" vertical="center" shrinkToFit="1"/>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0"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0" fillId="14" borderId="2" xfId="0" applyFill="1" applyBorder="1"/>
    <xf numFmtId="0" fontId="0" fillId="14" borderId="3" xfId="0" applyFill="1" applyBorder="1"/>
    <xf numFmtId="0" fontId="0" fillId="14" borderId="4" xfId="0" applyFill="1" applyBorder="1"/>
    <xf numFmtId="0" fontId="0" fillId="14" borderId="0" xfId="0" applyFill="1" applyBorder="1"/>
    <xf numFmtId="0" fontId="0" fillId="14" borderId="5" xfId="0" applyFill="1" applyBorder="1"/>
    <xf numFmtId="0" fontId="0" fillId="14" borderId="6" xfId="0" applyFill="1" applyBorder="1"/>
    <xf numFmtId="0" fontId="0" fillId="14" borderId="7" xfId="0" applyFill="1" applyBorder="1"/>
    <xf numFmtId="0" fontId="0" fillId="14" borderId="8" xfId="0" applyFill="1"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29" fillId="5" borderId="0" xfId="0" applyFont="1" applyFill="1" applyBorder="1" applyAlignment="1">
      <alignment horizontal="center" vertical="center" wrapText="1"/>
    </xf>
    <xf numFmtId="0" fontId="18" fillId="0" borderId="7" xfId="0" applyFont="1" applyBorder="1" applyAlignment="1">
      <alignment horizontal="center" vertical="top" wrapText="1"/>
    </xf>
    <xf numFmtId="0" fontId="7" fillId="5" borderId="16" xfId="0" applyFont="1" applyFill="1" applyBorder="1" applyAlignment="1">
      <alignment horizontal="center" vertical="center"/>
    </xf>
    <xf numFmtId="0" fontId="7" fillId="5" borderId="49" xfId="0" applyFont="1" applyFill="1" applyBorder="1" applyAlignment="1">
      <alignment horizontal="center" vertical="center"/>
    </xf>
    <xf numFmtId="0" fontId="7" fillId="5" borderId="37" xfId="0" applyFont="1" applyFill="1" applyBorder="1" applyAlignment="1">
      <alignment horizontal="center" vertical="center"/>
    </xf>
    <xf numFmtId="0" fontId="7" fillId="5" borderId="50" xfId="0" applyFont="1" applyFill="1" applyBorder="1" applyAlignment="1">
      <alignment horizontal="center" vertical="center"/>
    </xf>
    <xf numFmtId="14" fontId="10" fillId="5" borderId="44" xfId="0" applyNumberFormat="1" applyFont="1" applyFill="1" applyBorder="1" applyAlignment="1">
      <alignment horizontal="center"/>
    </xf>
    <xf numFmtId="14" fontId="10" fillId="5" borderId="45" xfId="0" applyNumberFormat="1" applyFont="1" applyFill="1" applyBorder="1" applyAlignment="1">
      <alignment horizontal="center"/>
    </xf>
    <xf numFmtId="14" fontId="10" fillId="5" borderId="46" xfId="0" applyNumberFormat="1" applyFont="1" applyFill="1" applyBorder="1" applyAlignment="1">
      <alignment horizontal="center"/>
    </xf>
    <xf numFmtId="14" fontId="10" fillId="5" borderId="38" xfId="0" applyNumberFormat="1" applyFont="1" applyFill="1" applyBorder="1" applyAlignment="1">
      <alignment horizontal="center"/>
    </xf>
    <xf numFmtId="14" fontId="10" fillId="5" borderId="38" xfId="0" applyNumberFormat="1" applyFont="1" applyFill="1" applyBorder="1" applyAlignment="1">
      <alignment horizontal="justify"/>
    </xf>
    <xf numFmtId="14" fontId="10" fillId="5" borderId="45" xfId="0" applyNumberFormat="1" applyFont="1" applyFill="1" applyBorder="1" applyAlignment="1">
      <alignment horizontal="justify"/>
    </xf>
    <xf numFmtId="14" fontId="10" fillId="5" borderId="51" xfId="0" applyNumberFormat="1" applyFont="1" applyFill="1" applyBorder="1" applyAlignment="1">
      <alignment horizontal="justify"/>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9" borderId="4"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4" fillId="9" borderId="5" xfId="0" applyFont="1" applyFill="1" applyBorder="1" applyAlignment="1" applyProtection="1">
      <alignment horizontal="center" vertical="center"/>
      <protection locked="0"/>
    </xf>
    <xf numFmtId="0" fontId="4" fillId="5" borderId="52" xfId="0" applyFont="1" applyFill="1" applyBorder="1" applyAlignment="1">
      <alignment horizontal="center" vertical="center"/>
    </xf>
    <xf numFmtId="0" fontId="4" fillId="5" borderId="53" xfId="0" applyFont="1" applyFill="1" applyBorder="1" applyAlignment="1">
      <alignment horizontal="center" vertical="center"/>
    </xf>
    <xf numFmtId="0" fontId="4" fillId="5" borderId="54" xfId="0" applyFont="1" applyFill="1" applyBorder="1" applyAlignment="1">
      <alignment horizontal="center" vertical="center"/>
    </xf>
    <xf numFmtId="0" fontId="10" fillId="5" borderId="0" xfId="0" applyFont="1" applyFill="1" applyBorder="1" applyAlignment="1">
      <alignment horizontal="center" vertical="center"/>
    </xf>
    <xf numFmtId="0" fontId="7" fillId="5" borderId="18" xfId="0" applyFont="1" applyFill="1" applyBorder="1" applyAlignment="1">
      <alignment horizontal="center" vertical="center"/>
    </xf>
    <xf numFmtId="0" fontId="4" fillId="9" borderId="16" xfId="0" applyFont="1" applyFill="1" applyBorder="1" applyAlignment="1" applyProtection="1">
      <alignment horizontal="center"/>
      <protection locked="0"/>
    </xf>
    <xf numFmtId="0" fontId="7" fillId="9" borderId="49" xfId="0" applyFont="1" applyFill="1" applyBorder="1" applyAlignment="1" applyProtection="1">
      <alignment horizontal="center"/>
      <protection locked="0"/>
    </xf>
    <xf numFmtId="1" fontId="4" fillId="9" borderId="37" xfId="0" applyNumberFormat="1" applyFont="1" applyFill="1" applyBorder="1" applyAlignment="1" applyProtection="1">
      <alignment horizontal="center" vertical="center"/>
      <protection locked="0"/>
    </xf>
    <xf numFmtId="1" fontId="7" fillId="9" borderId="50" xfId="0" applyNumberFormat="1" applyFont="1" applyFill="1" applyBorder="1" applyAlignment="1" applyProtection="1">
      <alignment horizontal="center" vertical="center"/>
      <protection locked="0"/>
    </xf>
    <xf numFmtId="1" fontId="7" fillId="9" borderId="49" xfId="0" applyNumberFormat="1" applyFont="1" applyFill="1" applyBorder="1" applyAlignment="1" applyProtection="1">
      <alignment horizontal="center" vertical="center"/>
      <protection locked="0"/>
    </xf>
    <xf numFmtId="0" fontId="4" fillId="9" borderId="37" xfId="0" applyFont="1" applyFill="1" applyBorder="1" applyAlignment="1" applyProtection="1">
      <alignment horizontal="center"/>
      <protection locked="0"/>
    </xf>
    <xf numFmtId="0" fontId="7" fillId="9" borderId="50" xfId="0" applyFont="1" applyFill="1" applyBorder="1" applyAlignment="1" applyProtection="1">
      <alignment horizontal="center"/>
      <protection locked="0"/>
    </xf>
    <xf numFmtId="20" fontId="4" fillId="9" borderId="37" xfId="0" applyNumberFormat="1" applyFont="1" applyFill="1" applyBorder="1" applyAlignment="1" applyProtection="1">
      <alignment horizontal="center"/>
      <protection locked="0"/>
    </xf>
    <xf numFmtId="20" fontId="7" fillId="9" borderId="50" xfId="0" applyNumberFormat="1" applyFont="1" applyFill="1" applyBorder="1" applyAlignment="1" applyProtection="1">
      <alignment horizontal="center"/>
      <protection locked="0"/>
    </xf>
    <xf numFmtId="20" fontId="7" fillId="9" borderId="18" xfId="0" applyNumberFormat="1" applyFont="1" applyFill="1" applyBorder="1" applyAlignment="1" applyProtection="1">
      <alignment horizontal="center"/>
      <protection locked="0"/>
    </xf>
    <xf numFmtId="0" fontId="35" fillId="14" borderId="47" xfId="0" applyFont="1" applyFill="1" applyBorder="1" applyAlignment="1">
      <alignment horizontal="center" vertical="center" wrapText="1"/>
    </xf>
    <xf numFmtId="0" fontId="35" fillId="14" borderId="48" xfId="0" applyFont="1" applyFill="1" applyBorder="1" applyAlignment="1">
      <alignment horizontal="center" vertical="center" wrapText="1"/>
    </xf>
    <xf numFmtId="0" fontId="35" fillId="14" borderId="43"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4" fillId="5" borderId="47" xfId="0" applyFont="1" applyFill="1" applyBorder="1" applyAlignment="1">
      <alignment horizontal="center" vertical="center" wrapText="1"/>
    </xf>
    <xf numFmtId="0" fontId="34" fillId="5" borderId="48" xfId="0" applyFont="1" applyFill="1" applyBorder="1" applyAlignment="1">
      <alignment horizontal="center" vertical="center" wrapText="1"/>
    </xf>
    <xf numFmtId="0" fontId="34" fillId="5" borderId="43" xfId="0" applyFont="1" applyFill="1" applyBorder="1" applyAlignment="1">
      <alignment horizontal="center" vertical="center" wrapText="1"/>
    </xf>
    <xf numFmtId="0" fontId="4" fillId="14" borderId="47" xfId="0" applyFont="1" applyFill="1" applyBorder="1" applyAlignment="1">
      <alignment horizontal="center" vertical="center" wrapText="1"/>
    </xf>
    <xf numFmtId="0" fontId="4" fillId="14" borderId="48" xfId="0" applyFont="1" applyFill="1" applyBorder="1" applyAlignment="1">
      <alignment horizontal="center" vertical="center" wrapText="1"/>
    </xf>
    <xf numFmtId="0" fontId="4" fillId="14" borderId="43"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12" fillId="5" borderId="43" xfId="0" applyFont="1" applyFill="1" applyBorder="1" applyAlignment="1">
      <alignment horizontal="center" vertical="center" wrapText="1"/>
    </xf>
    <xf numFmtId="14" fontId="0" fillId="0" borderId="47" xfId="0" applyNumberFormat="1" applyFill="1" applyBorder="1" applyAlignment="1">
      <alignment horizontal="justify" vertical="center" wrapText="1"/>
    </xf>
    <xf numFmtId="14" fontId="0" fillId="0" borderId="48" xfId="0" applyNumberFormat="1" applyFill="1" applyBorder="1" applyAlignment="1">
      <alignment horizontal="justify" vertical="center" wrapText="1"/>
    </xf>
    <xf numFmtId="14" fontId="0" fillId="0" borderId="43" xfId="0" applyNumberFormat="1" applyFill="1" applyBorder="1" applyAlignment="1">
      <alignment horizontal="justify" vertical="center" wrapText="1"/>
    </xf>
    <xf numFmtId="0" fontId="35" fillId="6" borderId="6"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wrapText="1"/>
    </xf>
    <xf numFmtId="14" fontId="0" fillId="0" borderId="48" xfId="0" applyNumberFormat="1" applyFill="1" applyBorder="1" applyAlignment="1">
      <alignment horizontal="center" vertical="center" wrapText="1"/>
    </xf>
    <xf numFmtId="14" fontId="0" fillId="0" borderId="43" xfId="0" applyNumberFormat="1" applyFill="1" applyBorder="1" applyAlignment="1">
      <alignment horizontal="center" vertical="center" wrapText="1"/>
    </xf>
    <xf numFmtId="49" fontId="0" fillId="2" borderId="47" xfId="0" applyNumberFormat="1" applyFill="1" applyBorder="1" applyAlignment="1">
      <alignment horizontal="justify" vertical="top" wrapText="1"/>
    </xf>
    <xf numFmtId="49" fontId="0" fillId="2" borderId="48" xfId="0" applyNumberFormat="1" applyFill="1" applyBorder="1" applyAlignment="1">
      <alignment horizontal="justify" vertical="top" wrapText="1"/>
    </xf>
    <xf numFmtId="49" fontId="0" fillId="2" borderId="43" xfId="0" applyNumberFormat="1" applyFill="1" applyBorder="1" applyAlignment="1">
      <alignment horizontal="justify" vertical="top" wrapText="1"/>
    </xf>
    <xf numFmtId="0" fontId="34" fillId="5" borderId="4" xfId="0" applyFont="1" applyFill="1" applyBorder="1" applyAlignment="1">
      <alignment horizontal="center"/>
    </xf>
    <xf numFmtId="0" fontId="34" fillId="5" borderId="0" xfId="0" applyFont="1" applyFill="1" applyBorder="1" applyAlignment="1">
      <alignment horizontal="center"/>
    </xf>
    <xf numFmtId="0" fontId="34" fillId="5" borderId="5" xfId="0" applyFont="1" applyFill="1" applyBorder="1" applyAlignment="1">
      <alignment horizontal="center"/>
    </xf>
    <xf numFmtId="0" fontId="28" fillId="5" borderId="47" xfId="0" applyFont="1" applyFill="1" applyBorder="1" applyAlignment="1">
      <alignment horizontal="center" vertical="center"/>
    </xf>
    <xf numFmtId="0" fontId="28" fillId="5" borderId="48" xfId="0" applyFont="1" applyFill="1" applyBorder="1" applyAlignment="1">
      <alignment horizontal="center" vertical="center"/>
    </xf>
    <xf numFmtId="0" fontId="28" fillId="5" borderId="43" xfId="0" applyFont="1" applyFill="1" applyBorder="1" applyAlignment="1">
      <alignment horizontal="center" vertical="center"/>
    </xf>
    <xf numFmtId="0" fontId="27" fillId="10" borderId="47" xfId="0" applyFont="1" applyFill="1" applyBorder="1" applyAlignment="1">
      <alignment horizontal="justify" vertical="center" wrapText="1"/>
    </xf>
    <xf numFmtId="0" fontId="27" fillId="10" borderId="48" xfId="0" applyFont="1" applyFill="1" applyBorder="1" applyAlignment="1">
      <alignment horizontal="justify" vertical="center" wrapText="1"/>
    </xf>
    <xf numFmtId="0" fontId="27" fillId="10" borderId="43" xfId="0" applyFont="1" applyFill="1" applyBorder="1" applyAlignment="1">
      <alignment horizontal="justify" vertical="center" wrapText="1"/>
    </xf>
    <xf numFmtId="3" fontId="0" fillId="7" borderId="7" xfId="1" applyNumberFormat="1" applyFont="1" applyFill="1" applyBorder="1" applyAlignment="1">
      <alignment horizontal="center"/>
    </xf>
    <xf numFmtId="3" fontId="0" fillId="7" borderId="2" xfId="1" applyNumberFormat="1" applyFont="1" applyFill="1" applyBorder="1" applyAlignment="1">
      <alignment horizontal="center"/>
    </xf>
    <xf numFmtId="0" fontId="40" fillId="2" borderId="1" xfId="0" applyFont="1" applyFill="1" applyBorder="1" applyAlignment="1">
      <alignment horizontal="justify" vertical="center" wrapText="1"/>
    </xf>
    <xf numFmtId="0" fontId="40" fillId="2" borderId="2" xfId="0" applyFont="1" applyFill="1" applyBorder="1" applyAlignment="1">
      <alignment horizontal="justify" vertical="center" wrapText="1"/>
    </xf>
    <xf numFmtId="0" fontId="40" fillId="2" borderId="3" xfId="0" applyFont="1" applyFill="1" applyBorder="1" applyAlignment="1">
      <alignment horizontal="justify" vertical="center" wrapText="1"/>
    </xf>
    <xf numFmtId="0" fontId="40" fillId="2" borderId="4" xfId="0" applyFont="1" applyFill="1" applyBorder="1" applyAlignment="1">
      <alignment horizontal="justify" vertical="center" wrapText="1"/>
    </xf>
    <xf numFmtId="0" fontId="40" fillId="2" borderId="0" xfId="0" applyFont="1" applyFill="1" applyBorder="1" applyAlignment="1">
      <alignment horizontal="justify" vertical="center" wrapText="1"/>
    </xf>
    <xf numFmtId="0" fontId="40" fillId="2" borderId="5" xfId="0" applyFont="1" applyFill="1" applyBorder="1" applyAlignment="1">
      <alignment horizontal="justify" vertical="center" wrapText="1"/>
    </xf>
    <xf numFmtId="0" fontId="40" fillId="2" borderId="6" xfId="0" applyFont="1" applyFill="1" applyBorder="1" applyAlignment="1">
      <alignment horizontal="justify" vertical="center" wrapText="1"/>
    </xf>
    <xf numFmtId="0" fontId="40" fillId="2" borderId="7" xfId="0" applyFont="1" applyFill="1" applyBorder="1" applyAlignment="1">
      <alignment horizontal="justify" vertical="center" wrapText="1"/>
    </xf>
    <xf numFmtId="0" fontId="40" fillId="2" borderId="8" xfId="0" applyFont="1" applyFill="1" applyBorder="1" applyAlignment="1">
      <alignment horizontal="justify" vertical="center" wrapText="1"/>
    </xf>
    <xf numFmtId="0" fontId="20" fillId="5" borderId="47" xfId="0" applyFont="1" applyFill="1" applyBorder="1" applyAlignment="1">
      <alignment horizontal="center"/>
    </xf>
    <xf numFmtId="0" fontId="20" fillId="5" borderId="48" xfId="0" applyFont="1" applyFill="1" applyBorder="1" applyAlignment="1">
      <alignment horizontal="center"/>
    </xf>
    <xf numFmtId="0" fontId="20" fillId="5" borderId="43" xfId="0" applyFont="1" applyFill="1" applyBorder="1" applyAlignment="1">
      <alignment horizontal="center"/>
    </xf>
    <xf numFmtId="0" fontId="12" fillId="5" borderId="47" xfId="0" applyFont="1" applyFill="1" applyBorder="1" applyAlignment="1">
      <alignment horizontal="center"/>
    </xf>
    <xf numFmtId="0" fontId="12" fillId="5" borderId="48" xfId="0" applyFont="1" applyFill="1" applyBorder="1" applyAlignment="1">
      <alignment horizontal="center"/>
    </xf>
    <xf numFmtId="0" fontId="12" fillId="5" borderId="43" xfId="0" applyFont="1" applyFill="1" applyBorder="1" applyAlignment="1">
      <alignment horizontal="center"/>
    </xf>
    <xf numFmtId="0" fontId="0" fillId="0" borderId="0" xfId="0" applyAlignment="1">
      <alignment horizontal="center"/>
    </xf>
    <xf numFmtId="0" fontId="18" fillId="0" borderId="17" xfId="0" applyFont="1" applyBorder="1" applyAlignment="1">
      <alignment horizontal="center"/>
    </xf>
    <xf numFmtId="0" fontId="18" fillId="0" borderId="15" xfId="0" applyFont="1" applyBorder="1" applyAlignment="1">
      <alignment horizontal="center"/>
    </xf>
    <xf numFmtId="0" fontId="18" fillId="0" borderId="13" xfId="0" applyFont="1" applyBorder="1" applyAlignment="1">
      <alignment horizontal="center" vertical="center"/>
    </xf>
    <xf numFmtId="0" fontId="23" fillId="2" borderId="13" xfId="0" applyNumberFormat="1" applyFont="1" applyFill="1" applyBorder="1" applyAlignment="1">
      <alignment horizontal="center"/>
    </xf>
    <xf numFmtId="0" fontId="23" fillId="2" borderId="17" xfId="0" applyNumberFormat="1" applyFont="1" applyFill="1" applyBorder="1" applyAlignment="1">
      <alignment horizontal="center"/>
    </xf>
    <xf numFmtId="0" fontId="23" fillId="2" borderId="15" xfId="0" applyNumberFormat="1" applyFont="1" applyFill="1" applyBorder="1" applyAlignment="1">
      <alignment horizontal="center"/>
    </xf>
    <xf numFmtId="0" fontId="24" fillId="2" borderId="19" xfId="0" applyFont="1" applyFill="1" applyBorder="1" applyAlignment="1">
      <alignment horizontal="center" vertical="center"/>
    </xf>
    <xf numFmtId="0" fontId="24" fillId="2" borderId="30" xfId="0" applyFont="1" applyFill="1" applyBorder="1" applyAlignment="1">
      <alignment horizontal="center" vertical="center"/>
    </xf>
    <xf numFmtId="0" fontId="24" fillId="2" borderId="9" xfId="0"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31" xfId="0" applyFont="1" applyFill="1" applyBorder="1" applyAlignment="1">
      <alignment horizontal="center" vertical="center"/>
    </xf>
    <xf numFmtId="0" fontId="28" fillId="5" borderId="47" xfId="0" applyFont="1" applyFill="1" applyBorder="1" applyAlignment="1">
      <alignment horizontal="left" vertical="center"/>
    </xf>
    <xf numFmtId="0" fontId="28" fillId="5" borderId="48" xfId="0" applyFont="1" applyFill="1" applyBorder="1" applyAlignment="1">
      <alignment horizontal="left" vertical="center"/>
    </xf>
    <xf numFmtId="0" fontId="28" fillId="5" borderId="43" xfId="0" applyFont="1" applyFill="1" applyBorder="1" applyAlignment="1">
      <alignment horizontal="left" vertical="center"/>
    </xf>
    <xf numFmtId="0" fontId="27" fillId="10" borderId="47" xfId="0" applyFont="1" applyFill="1" applyBorder="1" applyAlignment="1">
      <alignment horizontal="left" vertical="center" wrapText="1"/>
    </xf>
    <xf numFmtId="0" fontId="27" fillId="10" borderId="48" xfId="0" applyFont="1" applyFill="1" applyBorder="1" applyAlignment="1">
      <alignment horizontal="left" vertical="center" wrapText="1"/>
    </xf>
    <xf numFmtId="0" fontId="27" fillId="10" borderId="43" xfId="0" applyFont="1" applyFill="1" applyBorder="1" applyAlignment="1">
      <alignment horizontal="left" vertical="center" wrapText="1"/>
    </xf>
    <xf numFmtId="0" fontId="2" fillId="2" borderId="47" xfId="0" applyFont="1" applyFill="1" applyBorder="1" applyAlignment="1">
      <alignment horizontal="left" vertical="top" wrapText="1"/>
    </xf>
    <xf numFmtId="0" fontId="16" fillId="4" borderId="15"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30" xfId="0" applyFont="1" applyFill="1" applyBorder="1" applyAlignment="1">
      <alignment horizontal="center" vertical="center"/>
    </xf>
    <xf numFmtId="0" fontId="16" fillId="4" borderId="13" xfId="0" applyFont="1" applyFill="1" applyBorder="1" applyAlignment="1">
      <alignment horizontal="center"/>
    </xf>
    <xf numFmtId="0" fontId="16" fillId="4" borderId="17" xfId="0" applyFont="1" applyFill="1" applyBorder="1" applyAlignment="1">
      <alignment horizontal="center"/>
    </xf>
    <xf numFmtId="0" fontId="16" fillId="4" borderId="15" xfId="0" applyFont="1" applyFill="1" applyBorder="1" applyAlignment="1">
      <alignment horizontal="center" wrapText="1"/>
    </xf>
    <xf numFmtId="0" fontId="16" fillId="4" borderId="12" xfId="0" applyFont="1" applyFill="1" applyBorder="1" applyAlignment="1">
      <alignment horizontal="center" wrapText="1"/>
    </xf>
    <xf numFmtId="0" fontId="16" fillId="4" borderId="17" xfId="0" applyFont="1" applyFill="1" applyBorder="1" applyAlignment="1">
      <alignment horizontal="center" vertical="center"/>
    </xf>
    <xf numFmtId="0" fontId="16" fillId="4" borderId="26" xfId="0" applyFont="1" applyFill="1" applyBorder="1" applyAlignment="1">
      <alignment horizontal="center" vertical="center"/>
    </xf>
  </cellXfs>
  <cellStyles count="3">
    <cellStyle name="Millares" xfId="1" builtinId="3"/>
    <cellStyle name="Moneda" xfId="2" builtinId="4"/>
    <cellStyle name="Normal" xfId="0" builtinId="0"/>
  </cellStyles>
  <dxfs count="70">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52"/>
        </patternFill>
      </fill>
    </dxf>
    <dxf>
      <font>
        <b/>
        <i val="0"/>
        <condense val="0"/>
        <extend val="0"/>
        <color indexed="9"/>
      </font>
      <fill>
        <patternFill>
          <bgColor indexed="10"/>
        </patternFill>
      </fill>
    </dxf>
    <dxf>
      <font>
        <b val="0"/>
        <i val="0"/>
        <condense val="0"/>
        <extend val="0"/>
        <color indexed="8"/>
      </font>
      <fill>
        <patternFill>
          <bgColor indexed="13"/>
        </patternFill>
      </fill>
    </dxf>
    <dxf>
      <font>
        <b val="0"/>
        <i val="0"/>
        <condense val="0"/>
        <extend val="0"/>
        <color indexed="9"/>
      </font>
      <fill>
        <patternFill>
          <bgColor indexed="17"/>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patternType="solid">
          <bgColor indexed="43"/>
        </patternFill>
      </fill>
    </dxf>
    <dxf>
      <fill>
        <patternFill>
          <bgColor indexed="43"/>
        </patternFill>
      </fill>
    </dxf>
    <dxf>
      <fill>
        <patternFill>
          <bgColor indexed="8"/>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3366FF"/>
        </patternFill>
      </fill>
    </dxf>
  </dxfs>
  <tableStyles count="0" defaultTableStyle="TableStyleMedium2" defaultPivotStyle="PivotStyleLight16"/>
  <colors>
    <mruColors>
      <color rgb="FF3366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219075</xdr:colOff>
          <xdr:row>8</xdr:row>
          <xdr:rowOff>95250</xdr:rowOff>
        </xdr:from>
        <xdr:to>
          <xdr:col>20</xdr:col>
          <xdr:colOff>76200</xdr:colOff>
          <xdr:row>9</xdr:row>
          <xdr:rowOff>1066800</xdr:rowOff>
        </xdr:to>
        <xdr:pic>
          <xdr:nvPicPr>
            <xdr:cNvPr id="2094" name="Imagen 4"/>
            <xdr:cNvPicPr>
              <a:picLocks noChangeAspect="1"/>
              <a:extLst>
                <a:ext uri="{84589F7E-364E-4C9E-8A38-B11213B215E9}">
                  <a14:cameraTool cellRange="horoscopo" spid="_x0000_s2110"/>
                </a:ext>
              </a:extLst>
            </xdr:cNvPicPr>
          </xdr:nvPicPr>
          <xdr:blipFill>
            <a:blip xmlns:r="http://schemas.openxmlformats.org/officeDocument/2006/relationships" r:embed="rId1"/>
            <a:srcRect/>
            <a:stretch>
              <a:fillRect/>
            </a:stretch>
          </xdr:blipFill>
          <xdr:spPr bwMode="auto">
            <a:xfrm>
              <a:off x="5133975" y="2324100"/>
              <a:ext cx="1114425" cy="1143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8</xdr:row>
          <xdr:rowOff>152400</xdr:rowOff>
        </xdr:from>
        <xdr:to>
          <xdr:col>26</xdr:col>
          <xdr:colOff>76200</xdr:colOff>
          <xdr:row>9</xdr:row>
          <xdr:rowOff>561975</xdr:rowOff>
        </xdr:to>
        <xdr:pic>
          <xdr:nvPicPr>
            <xdr:cNvPr id="2095" name="Imagen 6"/>
            <xdr:cNvPicPr>
              <a:picLocks noChangeAspect="1"/>
              <a:extLst>
                <a:ext uri="{84589F7E-364E-4C9E-8A38-B11213B215E9}">
                  <a14:cameraTool cellRange="compañero" spid="_x0000_s2111"/>
                </a:ext>
              </a:extLst>
            </xdr:cNvPicPr>
          </xdr:nvPicPr>
          <xdr:blipFill>
            <a:blip xmlns:r="http://schemas.openxmlformats.org/officeDocument/2006/relationships" r:embed="rId2"/>
            <a:srcRect/>
            <a:stretch>
              <a:fillRect/>
            </a:stretch>
          </xdr:blipFill>
          <xdr:spPr bwMode="auto">
            <a:xfrm>
              <a:off x="7572375" y="2381250"/>
              <a:ext cx="561975" cy="581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1</xdr:row>
      <xdr:rowOff>85725</xdr:rowOff>
    </xdr:from>
    <xdr:to>
      <xdr:col>1</xdr:col>
      <xdr:colOff>1066800</xdr:colOff>
      <xdr:row>1</xdr:row>
      <xdr:rowOff>1114425</xdr:rowOff>
    </xdr:to>
    <xdr:pic>
      <xdr:nvPicPr>
        <xdr:cNvPr id="150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5717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xdr:row>
      <xdr:rowOff>114300</xdr:rowOff>
    </xdr:from>
    <xdr:to>
      <xdr:col>1</xdr:col>
      <xdr:colOff>1057275</xdr:colOff>
      <xdr:row>2</xdr:row>
      <xdr:rowOff>1019175</xdr:rowOff>
    </xdr:to>
    <xdr:pic>
      <xdr:nvPicPr>
        <xdr:cNvPr id="1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28750"/>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xdr:row>
      <xdr:rowOff>142875</xdr:rowOff>
    </xdr:from>
    <xdr:to>
      <xdr:col>1</xdr:col>
      <xdr:colOff>1066800</xdr:colOff>
      <xdr:row>3</xdr:row>
      <xdr:rowOff>1028700</xdr:rowOff>
    </xdr:to>
    <xdr:pic>
      <xdr:nvPicPr>
        <xdr:cNvPr id="1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 y="2600325"/>
          <a:ext cx="1009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xdr:row>
      <xdr:rowOff>152400</xdr:rowOff>
    </xdr:from>
    <xdr:to>
      <xdr:col>1</xdr:col>
      <xdr:colOff>971550</xdr:colOff>
      <xdr:row>4</xdr:row>
      <xdr:rowOff>1076325</xdr:rowOff>
    </xdr:to>
    <xdr:pic>
      <xdr:nvPicPr>
        <xdr:cNvPr id="1510" name="Imagen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3925" y="3752850"/>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104775</xdr:rowOff>
    </xdr:from>
    <xdr:to>
      <xdr:col>1</xdr:col>
      <xdr:colOff>1038225</xdr:colOff>
      <xdr:row>5</xdr:row>
      <xdr:rowOff>1057275</xdr:rowOff>
    </xdr:to>
    <xdr:pic>
      <xdr:nvPicPr>
        <xdr:cNvPr id="1511" name="Imagen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5825" y="4848225"/>
          <a:ext cx="914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6</xdr:row>
      <xdr:rowOff>161925</xdr:rowOff>
    </xdr:from>
    <xdr:to>
      <xdr:col>1</xdr:col>
      <xdr:colOff>1047750</xdr:colOff>
      <xdr:row>6</xdr:row>
      <xdr:rowOff>1019175</xdr:rowOff>
    </xdr:to>
    <xdr:pic>
      <xdr:nvPicPr>
        <xdr:cNvPr id="1512"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60483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76200</xdr:rowOff>
    </xdr:from>
    <xdr:to>
      <xdr:col>1</xdr:col>
      <xdr:colOff>1057275</xdr:colOff>
      <xdr:row>7</xdr:row>
      <xdr:rowOff>1066800</xdr:rowOff>
    </xdr:to>
    <xdr:pic>
      <xdr:nvPicPr>
        <xdr:cNvPr id="1513"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7105650"/>
          <a:ext cx="1009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xdr:row>
      <xdr:rowOff>66675</xdr:rowOff>
    </xdr:from>
    <xdr:to>
      <xdr:col>1</xdr:col>
      <xdr:colOff>990600</xdr:colOff>
      <xdr:row>8</xdr:row>
      <xdr:rowOff>1076325</xdr:rowOff>
    </xdr:to>
    <xdr:pic>
      <xdr:nvPicPr>
        <xdr:cNvPr id="1514" name="Imagen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5825" y="8239125"/>
          <a:ext cx="8667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9</xdr:row>
      <xdr:rowOff>85725</xdr:rowOff>
    </xdr:from>
    <xdr:to>
      <xdr:col>1</xdr:col>
      <xdr:colOff>981075</xdr:colOff>
      <xdr:row>9</xdr:row>
      <xdr:rowOff>1095375</xdr:rowOff>
    </xdr:to>
    <xdr:pic>
      <xdr:nvPicPr>
        <xdr:cNvPr id="1515" name="Imagen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6775" y="9401175"/>
          <a:ext cx="876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66675</xdr:rowOff>
    </xdr:from>
    <xdr:to>
      <xdr:col>1</xdr:col>
      <xdr:colOff>981075</xdr:colOff>
      <xdr:row>10</xdr:row>
      <xdr:rowOff>1057275</xdr:rowOff>
    </xdr:to>
    <xdr:pic>
      <xdr:nvPicPr>
        <xdr:cNvPr id="1516" name="Imagen 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7250" y="10525125"/>
          <a:ext cx="885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11</xdr:row>
      <xdr:rowOff>133350</xdr:rowOff>
    </xdr:from>
    <xdr:to>
      <xdr:col>1</xdr:col>
      <xdr:colOff>1019175</xdr:colOff>
      <xdr:row>11</xdr:row>
      <xdr:rowOff>1057275</xdr:rowOff>
    </xdr:to>
    <xdr:pic>
      <xdr:nvPicPr>
        <xdr:cNvPr id="1517" name="Imagen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 y="11734800"/>
          <a:ext cx="8953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209550</xdr:rowOff>
    </xdr:from>
    <xdr:to>
      <xdr:col>1</xdr:col>
      <xdr:colOff>1085850</xdr:colOff>
      <xdr:row>12</xdr:row>
      <xdr:rowOff>1038225</xdr:rowOff>
    </xdr:to>
    <xdr:pic>
      <xdr:nvPicPr>
        <xdr:cNvPr id="1518" name="Imagen 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 y="12954000"/>
          <a:ext cx="1009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66675</xdr:rowOff>
    </xdr:from>
    <xdr:to>
      <xdr:col>2</xdr:col>
      <xdr:colOff>1047750</xdr:colOff>
      <xdr:row>11</xdr:row>
      <xdr:rowOff>1000125</xdr:rowOff>
    </xdr:to>
    <xdr:pic>
      <xdr:nvPicPr>
        <xdr:cNvPr id="1519" name="Imagen 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62150" y="116681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xdr:row>
      <xdr:rowOff>104775</xdr:rowOff>
    </xdr:from>
    <xdr:to>
      <xdr:col>2</xdr:col>
      <xdr:colOff>1038225</xdr:colOff>
      <xdr:row>9</xdr:row>
      <xdr:rowOff>1066800</xdr:rowOff>
    </xdr:to>
    <xdr:pic>
      <xdr:nvPicPr>
        <xdr:cNvPr id="1520" name="Imagen 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14525" y="94202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xdr:row>
      <xdr:rowOff>114300</xdr:rowOff>
    </xdr:from>
    <xdr:to>
      <xdr:col>2</xdr:col>
      <xdr:colOff>1028700</xdr:colOff>
      <xdr:row>2</xdr:row>
      <xdr:rowOff>1000125</xdr:rowOff>
    </xdr:to>
    <xdr:pic>
      <xdr:nvPicPr>
        <xdr:cNvPr id="1521" name="Imagen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90725" y="1428750"/>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xdr:row>
      <xdr:rowOff>85725</xdr:rowOff>
    </xdr:from>
    <xdr:to>
      <xdr:col>2</xdr:col>
      <xdr:colOff>1047750</xdr:colOff>
      <xdr:row>5</xdr:row>
      <xdr:rowOff>1104900</xdr:rowOff>
    </xdr:to>
    <xdr:pic>
      <xdr:nvPicPr>
        <xdr:cNvPr id="1522" name="Imagen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43100" y="4829175"/>
          <a:ext cx="981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xdr:row>
      <xdr:rowOff>85725</xdr:rowOff>
    </xdr:from>
    <xdr:to>
      <xdr:col>2</xdr:col>
      <xdr:colOff>1019175</xdr:colOff>
      <xdr:row>1</xdr:row>
      <xdr:rowOff>1104900</xdr:rowOff>
    </xdr:to>
    <xdr:pic>
      <xdr:nvPicPr>
        <xdr:cNvPr id="1523" name="Imagen 2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90725" y="257175"/>
          <a:ext cx="9048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10</xdr:row>
      <xdr:rowOff>57150</xdr:rowOff>
    </xdr:from>
    <xdr:to>
      <xdr:col>2</xdr:col>
      <xdr:colOff>990600</xdr:colOff>
      <xdr:row>10</xdr:row>
      <xdr:rowOff>1076325</xdr:rowOff>
    </xdr:to>
    <xdr:pic>
      <xdr:nvPicPr>
        <xdr:cNvPr id="1524" name="Imagen 2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1200" y="10515600"/>
          <a:ext cx="885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xdr:row>
      <xdr:rowOff>171450</xdr:rowOff>
    </xdr:from>
    <xdr:to>
      <xdr:col>2</xdr:col>
      <xdr:colOff>1095375</xdr:colOff>
      <xdr:row>8</xdr:row>
      <xdr:rowOff>1047750</xdr:rowOff>
    </xdr:to>
    <xdr:pic>
      <xdr:nvPicPr>
        <xdr:cNvPr id="1525" name="Imagen 2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24050" y="8343900"/>
          <a:ext cx="1047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xdr:row>
      <xdr:rowOff>190500</xdr:rowOff>
    </xdr:from>
    <xdr:to>
      <xdr:col>2</xdr:col>
      <xdr:colOff>1019175</xdr:colOff>
      <xdr:row>6</xdr:row>
      <xdr:rowOff>990600</xdr:rowOff>
    </xdr:to>
    <xdr:pic>
      <xdr:nvPicPr>
        <xdr:cNvPr id="1526" name="Imagen 2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43100" y="6076950"/>
          <a:ext cx="952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7</xdr:row>
      <xdr:rowOff>47625</xdr:rowOff>
    </xdr:from>
    <xdr:to>
      <xdr:col>2</xdr:col>
      <xdr:colOff>1066800</xdr:colOff>
      <xdr:row>7</xdr:row>
      <xdr:rowOff>1095375</xdr:rowOff>
    </xdr:to>
    <xdr:pic>
      <xdr:nvPicPr>
        <xdr:cNvPr id="1527" name="Imagen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62150" y="7077075"/>
          <a:ext cx="9810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xdr:row>
      <xdr:rowOff>152400</xdr:rowOff>
    </xdr:from>
    <xdr:to>
      <xdr:col>2</xdr:col>
      <xdr:colOff>981075</xdr:colOff>
      <xdr:row>4</xdr:row>
      <xdr:rowOff>1057275</xdr:rowOff>
    </xdr:to>
    <xdr:pic>
      <xdr:nvPicPr>
        <xdr:cNvPr id="1528" name="Imagen 2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43100" y="375285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xdr:row>
      <xdr:rowOff>76200</xdr:rowOff>
    </xdr:from>
    <xdr:to>
      <xdr:col>2</xdr:col>
      <xdr:colOff>1076325</xdr:colOff>
      <xdr:row>3</xdr:row>
      <xdr:rowOff>1066800</xdr:rowOff>
    </xdr:to>
    <xdr:pic>
      <xdr:nvPicPr>
        <xdr:cNvPr id="1529" name="Imagen 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4050" y="2533650"/>
          <a:ext cx="1028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12</xdr:row>
      <xdr:rowOff>133350</xdr:rowOff>
    </xdr:from>
    <xdr:to>
      <xdr:col>2</xdr:col>
      <xdr:colOff>1066800</xdr:colOff>
      <xdr:row>12</xdr:row>
      <xdr:rowOff>1028700</xdr:rowOff>
    </xdr:to>
    <xdr:pic>
      <xdr:nvPicPr>
        <xdr:cNvPr id="1530" name="Imagen 3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5" y="12877800"/>
          <a:ext cx="990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176"/>
  <sheetViews>
    <sheetView showGridLines="0" tabSelected="1" zoomScaleNormal="100" workbookViewId="0">
      <selection activeCell="AK10" sqref="AK10"/>
    </sheetView>
  </sheetViews>
  <sheetFormatPr baseColWidth="10" defaultRowHeight="12.75"/>
  <cols>
    <col min="1" max="1" width="4.7109375" customWidth="1"/>
    <col min="2" max="2" width="3" customWidth="1"/>
    <col min="3" max="36" width="4.7109375" customWidth="1"/>
    <col min="37" max="48" width="4" customWidth="1"/>
  </cols>
  <sheetData>
    <row r="1" spans="1:48" ht="13.5" thickBot="1"/>
    <row r="2" spans="1:48" ht="13.5" customHeight="1" thickBot="1">
      <c r="AC2" s="320" t="s">
        <v>74</v>
      </c>
      <c r="AD2" s="321"/>
      <c r="AE2" s="321"/>
      <c r="AF2" s="321"/>
      <c r="AG2" s="321"/>
      <c r="AH2" s="321"/>
      <c r="AI2" s="322"/>
    </row>
    <row r="3" spans="1:48" ht="24" customHeight="1" thickBot="1">
      <c r="B3" s="1"/>
      <c r="C3" s="385" t="s">
        <v>91</v>
      </c>
      <c r="D3" s="386"/>
      <c r="E3" s="386"/>
      <c r="F3" s="386"/>
      <c r="G3" s="386"/>
      <c r="H3" s="386"/>
      <c r="I3" s="386"/>
      <c r="J3" s="386"/>
      <c r="K3" s="386"/>
      <c r="L3" s="386"/>
      <c r="M3" s="386"/>
      <c r="N3" s="386"/>
      <c r="O3" s="387"/>
      <c r="Q3" s="115"/>
      <c r="R3" s="116"/>
      <c r="S3" s="116"/>
      <c r="T3" s="116"/>
      <c r="U3" s="116"/>
      <c r="V3" s="116"/>
      <c r="W3" s="116"/>
      <c r="X3" s="116"/>
      <c r="Y3" s="116"/>
      <c r="Z3" s="116"/>
      <c r="AA3" s="117"/>
      <c r="AC3" s="323"/>
      <c r="AD3" s="324"/>
      <c r="AE3" s="324"/>
      <c r="AF3" s="324"/>
      <c r="AG3" s="324"/>
      <c r="AH3" s="324"/>
      <c r="AI3" s="325"/>
      <c r="AK3" s="305" t="s">
        <v>217</v>
      </c>
      <c r="AL3" s="306"/>
    </row>
    <row r="4" spans="1:48" ht="24" thickBot="1">
      <c r="B4" s="1"/>
      <c r="C4" s="388" t="s">
        <v>512</v>
      </c>
      <c r="D4" s="389"/>
      <c r="E4" s="389"/>
      <c r="F4" s="389"/>
      <c r="G4" s="389"/>
      <c r="H4" s="389"/>
      <c r="I4" s="389"/>
      <c r="J4" s="389"/>
      <c r="K4" s="389"/>
      <c r="L4" s="389"/>
      <c r="M4" s="389"/>
      <c r="N4" s="389"/>
      <c r="O4" s="390"/>
      <c r="Q4" s="118"/>
      <c r="R4" s="394" t="s">
        <v>182</v>
      </c>
      <c r="S4" s="394"/>
      <c r="T4" s="394"/>
      <c r="U4" s="394"/>
      <c r="V4" s="394"/>
      <c r="W4" s="394"/>
      <c r="X4" s="394"/>
      <c r="Y4" s="394"/>
      <c r="Z4" s="394"/>
      <c r="AA4" s="119"/>
      <c r="AC4" s="10"/>
      <c r="AD4" s="47" t="s">
        <v>100</v>
      </c>
      <c r="AE4" s="48" t="s">
        <v>101</v>
      </c>
      <c r="AF4" s="49" t="s">
        <v>102</v>
      </c>
      <c r="AG4" s="48" t="s">
        <v>103</v>
      </c>
      <c r="AH4" s="50" t="s">
        <v>104</v>
      </c>
      <c r="AI4" s="13"/>
      <c r="AK4" s="307"/>
      <c r="AL4" s="308"/>
    </row>
    <row r="5" spans="1:48" ht="23.25">
      <c r="B5" s="1"/>
      <c r="C5" s="391" t="s">
        <v>92</v>
      </c>
      <c r="D5" s="392"/>
      <c r="E5" s="392"/>
      <c r="F5" s="392"/>
      <c r="G5" s="392"/>
      <c r="H5" s="392"/>
      <c r="I5" s="392"/>
      <c r="J5" s="392"/>
      <c r="K5" s="392"/>
      <c r="L5" s="392"/>
      <c r="M5" s="392"/>
      <c r="N5" s="392"/>
      <c r="O5" s="393"/>
      <c r="Q5" s="118"/>
      <c r="R5" s="347" t="str">
        <f>IF(C7="","",CONCATENATE(LOOKUP(C8,Horóscopo!K4:L135,Horóscopo!A4:A135)," de ",LOOKUP(C8,Horóscopo!K4:L135,Horóscopo!H4:H135)))</f>
        <v>Serpiente de Agua</v>
      </c>
      <c r="S5" s="347"/>
      <c r="T5" s="347"/>
      <c r="U5" s="347"/>
      <c r="V5" s="347"/>
      <c r="W5" s="347"/>
      <c r="X5" s="347"/>
      <c r="Y5" s="347"/>
      <c r="Z5" s="347"/>
      <c r="AA5" s="119"/>
      <c r="AC5" s="10"/>
      <c r="AD5" s="51" t="s">
        <v>105</v>
      </c>
      <c r="AE5" s="52">
        <v>4</v>
      </c>
      <c r="AF5" s="53">
        <v>9</v>
      </c>
      <c r="AG5" s="54">
        <v>2</v>
      </c>
      <c r="AH5" s="55" t="s">
        <v>106</v>
      </c>
      <c r="AI5" s="13"/>
      <c r="AK5" s="139" t="s">
        <v>218</v>
      </c>
      <c r="AL5" s="235">
        <v>3</v>
      </c>
    </row>
    <row r="6" spans="1:48" ht="32.25" customHeight="1">
      <c r="B6" s="2"/>
      <c r="C6" s="374" t="s">
        <v>93</v>
      </c>
      <c r="D6" s="375"/>
      <c r="E6" s="376" t="s">
        <v>94</v>
      </c>
      <c r="F6" s="377"/>
      <c r="G6" s="375"/>
      <c r="H6" s="376" t="s">
        <v>95</v>
      </c>
      <c r="I6" s="377"/>
      <c r="J6" s="377"/>
      <c r="K6" s="375"/>
      <c r="L6" s="376" t="s">
        <v>96</v>
      </c>
      <c r="M6" s="377"/>
      <c r="N6" s="377"/>
      <c r="O6" s="395"/>
      <c r="Q6" s="118"/>
      <c r="R6" s="372" t="s">
        <v>253</v>
      </c>
      <c r="S6" s="372"/>
      <c r="T6" s="372"/>
      <c r="U6" s="372"/>
      <c r="V6" s="372"/>
      <c r="W6" s="372"/>
      <c r="X6" s="372"/>
      <c r="Y6" s="372"/>
      <c r="Z6" s="372"/>
      <c r="AA6" s="119"/>
      <c r="AC6" s="10"/>
      <c r="AD6" s="56" t="s">
        <v>107</v>
      </c>
      <c r="AE6" s="57">
        <v>3</v>
      </c>
      <c r="AF6" s="234">
        <v>5</v>
      </c>
      <c r="AG6" s="58">
        <v>7</v>
      </c>
      <c r="AH6" s="59" t="s">
        <v>108</v>
      </c>
      <c r="AI6" s="13"/>
      <c r="AK6" s="153" t="s">
        <v>219</v>
      </c>
      <c r="AL6" s="236">
        <v>8</v>
      </c>
      <c r="AM6" s="3"/>
      <c r="AN6" s="3"/>
      <c r="AO6" s="131"/>
      <c r="AP6" s="3"/>
      <c r="AQ6" s="3"/>
      <c r="AR6" s="3"/>
      <c r="AS6" s="3"/>
      <c r="AT6" s="3"/>
      <c r="AU6" s="3"/>
    </row>
    <row r="7" spans="1:48" ht="24" thickBot="1">
      <c r="B7" s="4"/>
      <c r="C7" s="396">
        <v>22</v>
      </c>
      <c r="D7" s="397"/>
      <c r="E7" s="398">
        <v>2</v>
      </c>
      <c r="F7" s="399"/>
      <c r="G7" s="400"/>
      <c r="H7" s="401">
        <v>1953</v>
      </c>
      <c r="I7" s="402"/>
      <c r="J7" s="402"/>
      <c r="K7" s="397"/>
      <c r="L7" s="403">
        <v>0.5</v>
      </c>
      <c r="M7" s="404"/>
      <c r="N7" s="404"/>
      <c r="O7" s="405"/>
      <c r="Q7" s="118"/>
      <c r="R7" s="347" t="str">
        <f>VLOOKUP(L7,Ascendente!A2:C15,3)</f>
        <v>Caballo</v>
      </c>
      <c r="S7" s="347"/>
      <c r="T7" s="347"/>
      <c r="U7" s="347"/>
      <c r="V7" s="347"/>
      <c r="W7" s="347"/>
      <c r="X7" s="347"/>
      <c r="Y7" s="347"/>
      <c r="Z7" s="347"/>
      <c r="AA7" s="119"/>
      <c r="AC7" s="10"/>
      <c r="AD7" s="51" t="s">
        <v>109</v>
      </c>
      <c r="AE7" s="60">
        <v>8</v>
      </c>
      <c r="AF7" s="61">
        <v>1</v>
      </c>
      <c r="AG7" s="62">
        <v>6</v>
      </c>
      <c r="AH7" s="55" t="s">
        <v>110</v>
      </c>
      <c r="AI7" s="13"/>
      <c r="AK7" s="146" t="s">
        <v>220</v>
      </c>
      <c r="AL7" s="237">
        <v>6</v>
      </c>
      <c r="AM7" s="5"/>
      <c r="AN7" s="5"/>
      <c r="AO7" s="132"/>
      <c r="AP7" s="5"/>
      <c r="AQ7" s="5"/>
      <c r="AR7" s="5"/>
      <c r="AS7" s="5"/>
      <c r="AT7" s="5"/>
      <c r="AU7" s="5"/>
    </row>
    <row r="8" spans="1:48" ht="21" thickBot="1">
      <c r="B8" s="4"/>
      <c r="C8" s="378">
        <f>DATE(H7,E7,C7)</f>
        <v>19412</v>
      </c>
      <c r="D8" s="379"/>
      <c r="E8" s="379"/>
      <c r="F8" s="380"/>
      <c r="G8" s="381">
        <f ca="1">DATE(YEAR(TODAY()),E7,C7)</f>
        <v>43518</v>
      </c>
      <c r="H8" s="379"/>
      <c r="I8" s="379"/>
      <c r="J8" s="379"/>
      <c r="K8" s="380"/>
      <c r="L8" s="382">
        <f ca="1">TODAY()</f>
        <v>43690</v>
      </c>
      <c r="M8" s="383"/>
      <c r="N8" s="383"/>
      <c r="O8" s="384"/>
      <c r="Q8" s="120"/>
      <c r="R8" s="121"/>
      <c r="S8" s="121"/>
      <c r="T8" s="121"/>
      <c r="U8" s="121"/>
      <c r="V8" s="121"/>
      <c r="W8" s="121"/>
      <c r="X8" s="121"/>
      <c r="Y8" s="121"/>
      <c r="Z8" s="121"/>
      <c r="AA8" s="122"/>
      <c r="AC8" s="10"/>
      <c r="AD8" s="63" t="s">
        <v>111</v>
      </c>
      <c r="AE8" s="64" t="s">
        <v>112</v>
      </c>
      <c r="AF8" s="65" t="s">
        <v>113</v>
      </c>
      <c r="AG8" s="64" t="s">
        <v>114</v>
      </c>
      <c r="AH8" s="66" t="s">
        <v>115</v>
      </c>
      <c r="AI8" s="13"/>
      <c r="AN8" s="5"/>
      <c r="AO8" s="5"/>
      <c r="AP8" s="132"/>
      <c r="AQ8" s="5"/>
      <c r="AR8" s="5"/>
      <c r="AS8" s="5"/>
      <c r="AT8" s="5"/>
      <c r="AU8" s="5"/>
      <c r="AV8" s="5"/>
    </row>
    <row r="9" spans="1:48" ht="13.5" thickBot="1">
      <c r="B9" s="6"/>
      <c r="AC9" s="15"/>
      <c r="AD9" s="16"/>
      <c r="AE9" s="16"/>
      <c r="AF9" s="16"/>
      <c r="AG9" s="16"/>
      <c r="AH9" s="16"/>
      <c r="AI9" s="17"/>
    </row>
    <row r="10" spans="1:48" ht="90" customHeight="1" thickBot="1">
      <c r="B10" s="6"/>
      <c r="P10" s="220" t="str">
        <f>+R5</f>
        <v>Serpiente de Agua</v>
      </c>
      <c r="Q10" s="319"/>
      <c r="R10" s="319"/>
      <c r="S10" s="319"/>
      <c r="T10" s="319"/>
      <c r="U10" s="319"/>
      <c r="V10" s="373" t="str">
        <f>+R6</f>
        <v>Ascendente o Compañero de Ruta</v>
      </c>
      <c r="W10" s="373"/>
      <c r="X10" s="373"/>
      <c r="Y10" s="319"/>
      <c r="Z10" s="319"/>
      <c r="AA10" s="319"/>
      <c r="AC10" s="46"/>
      <c r="AD10" s="46"/>
      <c r="AE10" s="46"/>
      <c r="AF10" s="46"/>
      <c r="AG10" s="46"/>
      <c r="AH10" s="46"/>
      <c r="AI10" s="46"/>
      <c r="AK10" s="219" t="str">
        <f>UPPER(LOOKUP(C8,Horóscopo!K4:L123,Horóscopo!A4:A123))</f>
        <v>SERPIENTE</v>
      </c>
    </row>
    <row r="11" spans="1:48" ht="13.5" thickBot="1">
      <c r="A11" s="37"/>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43"/>
    </row>
    <row r="12" spans="1:48" ht="12.75" customHeight="1">
      <c r="A12" s="39"/>
      <c r="B12" s="40"/>
      <c r="C12" s="40"/>
      <c r="D12" s="305" t="s">
        <v>97</v>
      </c>
      <c r="E12" s="342"/>
      <c r="F12" s="342"/>
      <c r="G12" s="342"/>
      <c r="H12" s="342"/>
      <c r="I12" s="342"/>
      <c r="J12" s="342"/>
      <c r="K12" s="306"/>
      <c r="L12" s="40"/>
      <c r="M12" s="40"/>
      <c r="N12" s="40"/>
      <c r="O12" s="40"/>
      <c r="P12" s="305" t="s">
        <v>98</v>
      </c>
      <c r="Q12" s="356"/>
      <c r="R12" s="356"/>
      <c r="S12" s="356"/>
      <c r="T12" s="356"/>
      <c r="U12" s="356"/>
      <c r="V12" s="356"/>
      <c r="W12" s="357"/>
      <c r="X12" s="40"/>
      <c r="Y12" s="40"/>
      <c r="Z12" s="40"/>
      <c r="AA12" s="40"/>
      <c r="AB12" s="305" t="s">
        <v>99</v>
      </c>
      <c r="AC12" s="342"/>
      <c r="AD12" s="342"/>
      <c r="AE12" s="342"/>
      <c r="AF12" s="342"/>
      <c r="AG12" s="342"/>
      <c r="AH12" s="342"/>
      <c r="AI12" s="306"/>
      <c r="AJ12" s="40"/>
      <c r="AK12" s="40"/>
      <c r="AL12" s="40"/>
      <c r="AM12" s="44"/>
    </row>
    <row r="13" spans="1:48">
      <c r="A13" s="39"/>
      <c r="B13" s="40"/>
      <c r="C13" s="40"/>
      <c r="D13" s="343"/>
      <c r="E13" s="344"/>
      <c r="F13" s="344"/>
      <c r="G13" s="344"/>
      <c r="H13" s="344"/>
      <c r="I13" s="344"/>
      <c r="J13" s="344"/>
      <c r="K13" s="345"/>
      <c r="L13" s="40"/>
      <c r="M13" s="40"/>
      <c r="N13" s="40"/>
      <c r="O13" s="40"/>
      <c r="P13" s="358"/>
      <c r="Q13" s="359"/>
      <c r="R13" s="359"/>
      <c r="S13" s="359"/>
      <c r="T13" s="359"/>
      <c r="U13" s="359"/>
      <c r="V13" s="359"/>
      <c r="W13" s="360"/>
      <c r="X13" s="40"/>
      <c r="Y13" s="40"/>
      <c r="Z13" s="40"/>
      <c r="AA13" s="40"/>
      <c r="AB13" s="343"/>
      <c r="AC13" s="344"/>
      <c r="AD13" s="344"/>
      <c r="AE13" s="344"/>
      <c r="AF13" s="344"/>
      <c r="AG13" s="344"/>
      <c r="AH13" s="344"/>
      <c r="AI13" s="345"/>
      <c r="AJ13" s="40"/>
      <c r="AK13" s="40"/>
      <c r="AL13" s="40"/>
      <c r="AM13" s="44"/>
    </row>
    <row r="14" spans="1:48">
      <c r="A14" s="39"/>
      <c r="B14" s="40"/>
      <c r="C14" s="40"/>
      <c r="D14" s="343"/>
      <c r="E14" s="344"/>
      <c r="F14" s="344"/>
      <c r="G14" s="344"/>
      <c r="H14" s="344"/>
      <c r="I14" s="344"/>
      <c r="J14" s="344"/>
      <c r="K14" s="345"/>
      <c r="L14" s="40"/>
      <c r="M14" s="40"/>
      <c r="N14" s="40"/>
      <c r="O14" s="40"/>
      <c r="P14" s="358"/>
      <c r="Q14" s="359"/>
      <c r="R14" s="359"/>
      <c r="S14" s="359"/>
      <c r="T14" s="359"/>
      <c r="U14" s="359"/>
      <c r="V14" s="359"/>
      <c r="W14" s="360"/>
      <c r="X14" s="40"/>
      <c r="Y14" s="40"/>
      <c r="Z14" s="40"/>
      <c r="AA14" s="40"/>
      <c r="AB14" s="343"/>
      <c r="AC14" s="344"/>
      <c r="AD14" s="344"/>
      <c r="AE14" s="344"/>
      <c r="AF14" s="344"/>
      <c r="AG14" s="344"/>
      <c r="AH14" s="344"/>
      <c r="AI14" s="345"/>
      <c r="AJ14" s="40"/>
      <c r="AK14" s="40"/>
      <c r="AL14" s="40"/>
      <c r="AM14" s="44"/>
    </row>
    <row r="15" spans="1:48">
      <c r="A15" s="39"/>
      <c r="B15" s="40"/>
      <c r="C15" s="40"/>
      <c r="D15" s="343"/>
      <c r="E15" s="344"/>
      <c r="F15" s="344"/>
      <c r="G15" s="344"/>
      <c r="H15" s="344"/>
      <c r="I15" s="344"/>
      <c r="J15" s="344"/>
      <c r="K15" s="345"/>
      <c r="L15" s="40"/>
      <c r="M15" s="40"/>
      <c r="N15" s="40"/>
      <c r="O15" s="40"/>
      <c r="P15" s="358"/>
      <c r="Q15" s="359"/>
      <c r="R15" s="359"/>
      <c r="S15" s="359"/>
      <c r="T15" s="359"/>
      <c r="U15" s="359"/>
      <c r="V15" s="359"/>
      <c r="W15" s="360"/>
      <c r="X15" s="40"/>
      <c r="Y15" s="40"/>
      <c r="Z15" s="40"/>
      <c r="AA15" s="40"/>
      <c r="AB15" s="343"/>
      <c r="AC15" s="344"/>
      <c r="AD15" s="344"/>
      <c r="AE15" s="344"/>
      <c r="AF15" s="344"/>
      <c r="AG15" s="344"/>
      <c r="AH15" s="344"/>
      <c r="AI15" s="345"/>
      <c r="AJ15" s="40"/>
      <c r="AK15" s="40"/>
      <c r="AL15" s="40"/>
      <c r="AM15" s="44"/>
    </row>
    <row r="16" spans="1:48">
      <c r="A16" s="39"/>
      <c r="B16" s="40"/>
      <c r="C16" s="40"/>
      <c r="D16" s="343"/>
      <c r="E16" s="344"/>
      <c r="F16" s="344"/>
      <c r="G16" s="344"/>
      <c r="H16" s="344"/>
      <c r="I16" s="344"/>
      <c r="J16" s="344"/>
      <c r="K16" s="345"/>
      <c r="L16" s="40"/>
      <c r="M16" s="40"/>
      <c r="N16" s="40"/>
      <c r="O16" s="40"/>
      <c r="P16" s="358"/>
      <c r="Q16" s="359"/>
      <c r="R16" s="359"/>
      <c r="S16" s="359"/>
      <c r="T16" s="359"/>
      <c r="U16" s="359"/>
      <c r="V16" s="359"/>
      <c r="W16" s="360"/>
      <c r="X16" s="40"/>
      <c r="Y16" s="40"/>
      <c r="Z16" s="40"/>
      <c r="AA16" s="40"/>
      <c r="AB16" s="343"/>
      <c r="AC16" s="344"/>
      <c r="AD16" s="344"/>
      <c r="AE16" s="344"/>
      <c r="AF16" s="344"/>
      <c r="AG16" s="344"/>
      <c r="AH16" s="344"/>
      <c r="AI16" s="345"/>
      <c r="AJ16" s="40"/>
      <c r="AK16" s="40"/>
      <c r="AL16" s="40"/>
      <c r="AM16" s="44"/>
    </row>
    <row r="17" spans="1:39" ht="13.5" thickBot="1">
      <c r="A17" s="39"/>
      <c r="B17" s="40"/>
      <c r="C17" s="40"/>
      <c r="D17" s="307"/>
      <c r="E17" s="346"/>
      <c r="F17" s="346"/>
      <c r="G17" s="346"/>
      <c r="H17" s="346"/>
      <c r="I17" s="346"/>
      <c r="J17" s="346"/>
      <c r="K17" s="308"/>
      <c r="L17" s="40"/>
      <c r="M17" s="40"/>
      <c r="N17" s="40"/>
      <c r="O17" s="40"/>
      <c r="P17" s="361"/>
      <c r="Q17" s="362"/>
      <c r="R17" s="362"/>
      <c r="S17" s="362"/>
      <c r="T17" s="362"/>
      <c r="U17" s="362"/>
      <c r="V17" s="362"/>
      <c r="W17" s="363"/>
      <c r="X17" s="40"/>
      <c r="Y17" s="40"/>
      <c r="Z17" s="40"/>
      <c r="AA17" s="40"/>
      <c r="AB17" s="307"/>
      <c r="AC17" s="346"/>
      <c r="AD17" s="346"/>
      <c r="AE17" s="346"/>
      <c r="AF17" s="346"/>
      <c r="AG17" s="346"/>
      <c r="AH17" s="346"/>
      <c r="AI17" s="308"/>
      <c r="AJ17" s="40"/>
      <c r="AK17" s="40"/>
      <c r="AL17" s="40"/>
      <c r="AM17" s="44"/>
    </row>
    <row r="18" spans="1:39" ht="13.5" thickBot="1">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4"/>
    </row>
    <row r="19" spans="1:39" ht="12.75" customHeight="1">
      <c r="A19" s="39"/>
      <c r="B19" s="40"/>
      <c r="C19" s="40"/>
      <c r="D19" s="238" t="s">
        <v>168</v>
      </c>
      <c r="E19" s="239"/>
      <c r="F19" s="239"/>
      <c r="G19" s="240"/>
      <c r="H19" s="40"/>
      <c r="I19" s="238">
        <f>IF(VALUE(MID(FIXED(H7,0,TRUE),1,1))+VALUE(MID(FIXED(H7,0,TRUE),2,1))+VALUE(MID(FIXED(H7,0,TRUE),3,1))+VALUE(MID(FIXED(H7,0,TRUE),4,1))&gt;10,11-(VALUE(MID((VALUE(MID(FIXED(H7,0,TRUE),1,1))+VALUE(MID(FIXED(H7,0,TRUE),2,1))+VALUE(MID(FIXED(H7,0,TRUE),3,1))+VALUE(MID(FIXED(H7,0,TRUE),4,1))),1,1))+VALUE(MID((VALUE(MID(FIXED(H7,0,TRUE),1,1))+VALUE(MID(FIXED(H7,0,TRUE),2,1))+VALUE(MID(FIXED(H7,0,TRUE),3,1))+VALUE(MID(FIXED(H7,0,TRUE),4,1))),2,1))),11-(VALUE(MID(FIXED(H7,0,TRUE),1,1))+VALUE(MID(FIXED(H7,0,TRUE),2,1))+VALUE(MID(FIXED(H7,0,TRUE),3,1))+VALUE(MID(FIXED(H7,0,TRUE),4,1))))</f>
        <v>2</v>
      </c>
      <c r="J19" s="239"/>
      <c r="K19" s="240"/>
      <c r="L19" s="40"/>
      <c r="M19" s="40"/>
      <c r="N19" s="40"/>
      <c r="O19" s="40"/>
      <c r="P19" s="238" t="s">
        <v>169</v>
      </c>
      <c r="Q19" s="364"/>
      <c r="R19" s="364"/>
      <c r="S19" s="365"/>
      <c r="T19" s="40"/>
      <c r="U19" s="238">
        <f ca="1">+'Cálculo de 2a. Estrella'!G25</f>
        <v>2</v>
      </c>
      <c r="V19" s="364"/>
      <c r="W19" s="365"/>
      <c r="X19" s="40"/>
      <c r="Y19" s="40"/>
      <c r="Z19" s="40"/>
      <c r="AA19" s="40"/>
      <c r="AB19" s="238" t="s">
        <v>170</v>
      </c>
      <c r="AC19" s="348"/>
      <c r="AD19" s="348"/>
      <c r="AE19" s="349"/>
      <c r="AF19" s="40"/>
      <c r="AG19" s="238">
        <f ca="1">IF(AND(U19&gt;5,I19&gt;5),I19-(U19-5),IF(AND(I19&lt;5,U19&gt;5),I19+(U19-5),IF(AND(I19&gt;5,U19&lt;5),I19-(5-U19),I19+(5-U19))))</f>
        <v>5</v>
      </c>
      <c r="AH19" s="239"/>
      <c r="AI19" s="240"/>
      <c r="AJ19" s="40"/>
      <c r="AK19" s="40"/>
      <c r="AL19" s="40"/>
      <c r="AM19" s="44"/>
    </row>
    <row r="20" spans="1:39" ht="12.75" customHeight="1">
      <c r="A20" s="39"/>
      <c r="B20" s="40"/>
      <c r="C20" s="40"/>
      <c r="D20" s="241"/>
      <c r="E20" s="242"/>
      <c r="F20" s="242"/>
      <c r="G20" s="243"/>
      <c r="H20" s="40"/>
      <c r="I20" s="241"/>
      <c r="J20" s="242"/>
      <c r="K20" s="243"/>
      <c r="L20" s="40"/>
      <c r="M20" s="40"/>
      <c r="N20" s="40"/>
      <c r="O20" s="40"/>
      <c r="P20" s="366"/>
      <c r="Q20" s="367"/>
      <c r="R20" s="367"/>
      <c r="S20" s="368"/>
      <c r="T20" s="40"/>
      <c r="U20" s="366"/>
      <c r="V20" s="367"/>
      <c r="W20" s="368"/>
      <c r="X20" s="40"/>
      <c r="Y20" s="40"/>
      <c r="Z20" s="40"/>
      <c r="AA20" s="40"/>
      <c r="AB20" s="350"/>
      <c r="AC20" s="351"/>
      <c r="AD20" s="351"/>
      <c r="AE20" s="352"/>
      <c r="AF20" s="40"/>
      <c r="AG20" s="241"/>
      <c r="AH20" s="242"/>
      <c r="AI20" s="243"/>
      <c r="AJ20" s="40"/>
      <c r="AK20" s="40"/>
      <c r="AL20" s="40"/>
      <c r="AM20" s="44"/>
    </row>
    <row r="21" spans="1:39" ht="12.75" customHeight="1">
      <c r="A21" s="39"/>
      <c r="B21" s="40"/>
      <c r="C21" s="40"/>
      <c r="D21" s="241"/>
      <c r="E21" s="242"/>
      <c r="F21" s="242"/>
      <c r="G21" s="243"/>
      <c r="H21" s="40"/>
      <c r="I21" s="241"/>
      <c r="J21" s="242"/>
      <c r="K21" s="243"/>
      <c r="L21" s="40"/>
      <c r="M21" s="40"/>
      <c r="N21" s="40"/>
      <c r="O21" s="40"/>
      <c r="P21" s="366"/>
      <c r="Q21" s="367"/>
      <c r="R21" s="367"/>
      <c r="S21" s="368"/>
      <c r="T21" s="40"/>
      <c r="U21" s="366"/>
      <c r="V21" s="367"/>
      <c r="W21" s="368"/>
      <c r="X21" s="40"/>
      <c r="Y21" s="40"/>
      <c r="Z21" s="40"/>
      <c r="AA21" s="40"/>
      <c r="AB21" s="350"/>
      <c r="AC21" s="351"/>
      <c r="AD21" s="351"/>
      <c r="AE21" s="352"/>
      <c r="AF21" s="40"/>
      <c r="AG21" s="241"/>
      <c r="AH21" s="242"/>
      <c r="AI21" s="243"/>
      <c r="AJ21" s="40"/>
      <c r="AK21" s="40"/>
      <c r="AL21" s="40"/>
      <c r="AM21" s="44"/>
    </row>
    <row r="22" spans="1:39" ht="12.75" customHeight="1">
      <c r="A22" s="39"/>
      <c r="B22" s="40"/>
      <c r="C22" s="40"/>
      <c r="D22" s="241"/>
      <c r="E22" s="242"/>
      <c r="F22" s="242"/>
      <c r="G22" s="243"/>
      <c r="H22" s="40"/>
      <c r="I22" s="241"/>
      <c r="J22" s="242"/>
      <c r="K22" s="243"/>
      <c r="L22" s="40"/>
      <c r="M22" s="40"/>
      <c r="N22" s="40"/>
      <c r="O22" s="40"/>
      <c r="P22" s="366"/>
      <c r="Q22" s="367"/>
      <c r="R22" s="367"/>
      <c r="S22" s="368"/>
      <c r="T22" s="40"/>
      <c r="U22" s="366"/>
      <c r="V22" s="367"/>
      <c r="W22" s="368"/>
      <c r="X22" s="40"/>
      <c r="Y22" s="40"/>
      <c r="Z22" s="40"/>
      <c r="AA22" s="40"/>
      <c r="AB22" s="350"/>
      <c r="AC22" s="351"/>
      <c r="AD22" s="351"/>
      <c r="AE22" s="352"/>
      <c r="AF22" s="40"/>
      <c r="AG22" s="241"/>
      <c r="AH22" s="242"/>
      <c r="AI22" s="243"/>
      <c r="AJ22" s="40"/>
      <c r="AK22" s="40"/>
      <c r="AL22" s="40"/>
      <c r="AM22" s="44"/>
    </row>
    <row r="23" spans="1:39" ht="13.5" customHeight="1" thickBot="1">
      <c r="A23" s="39"/>
      <c r="B23" s="40"/>
      <c r="C23" s="40"/>
      <c r="D23" s="244"/>
      <c r="E23" s="245"/>
      <c r="F23" s="245"/>
      <c r="G23" s="246"/>
      <c r="H23" s="40"/>
      <c r="I23" s="244"/>
      <c r="J23" s="245"/>
      <c r="K23" s="246"/>
      <c r="L23" s="40"/>
      <c r="M23" s="40"/>
      <c r="N23" s="40"/>
      <c r="O23" s="40"/>
      <c r="P23" s="369"/>
      <c r="Q23" s="370"/>
      <c r="R23" s="370"/>
      <c r="S23" s="371"/>
      <c r="T23" s="40"/>
      <c r="U23" s="369"/>
      <c r="V23" s="370"/>
      <c r="W23" s="371"/>
      <c r="X23" s="40"/>
      <c r="Y23" s="40"/>
      <c r="Z23" s="40"/>
      <c r="AA23" s="40"/>
      <c r="AB23" s="353"/>
      <c r="AC23" s="354"/>
      <c r="AD23" s="354"/>
      <c r="AE23" s="355"/>
      <c r="AF23" s="40"/>
      <c r="AG23" s="244"/>
      <c r="AH23" s="245"/>
      <c r="AI23" s="246"/>
      <c r="AJ23" s="40"/>
      <c r="AK23" s="40"/>
      <c r="AL23" s="40"/>
      <c r="AM23" s="44"/>
    </row>
    <row r="24" spans="1:39">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4"/>
    </row>
    <row r="25" spans="1:39" ht="13.5" thickBot="1">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4"/>
    </row>
    <row r="26" spans="1:39">
      <c r="A26" s="39"/>
      <c r="B26" s="40"/>
      <c r="C26" s="40"/>
      <c r="D26" s="7"/>
      <c r="E26" s="8"/>
      <c r="F26" s="8"/>
      <c r="G26" s="8"/>
      <c r="H26" s="8"/>
      <c r="I26" s="8"/>
      <c r="J26" s="8"/>
      <c r="K26" s="9"/>
      <c r="L26" s="40"/>
      <c r="M26" s="40"/>
      <c r="N26" s="40"/>
      <c r="O26" s="40"/>
      <c r="P26" s="7"/>
      <c r="Q26" s="8"/>
      <c r="R26" s="8"/>
      <c r="S26" s="8"/>
      <c r="T26" s="8"/>
      <c r="U26" s="8"/>
      <c r="V26" s="8"/>
      <c r="W26" s="9"/>
      <c r="X26" s="40"/>
      <c r="Y26" s="40"/>
      <c r="Z26" s="40"/>
      <c r="AA26" s="40"/>
      <c r="AB26" s="40"/>
      <c r="AC26" s="7"/>
      <c r="AD26" s="8"/>
      <c r="AE26" s="8"/>
      <c r="AF26" s="8"/>
      <c r="AG26" s="8"/>
      <c r="AH26" s="8"/>
      <c r="AI26" s="8"/>
      <c r="AJ26" s="9"/>
      <c r="AK26" s="40"/>
      <c r="AL26" s="40"/>
      <c r="AM26" s="44"/>
    </row>
    <row r="27" spans="1:39">
      <c r="A27" s="39"/>
      <c r="B27" s="40"/>
      <c r="C27" s="40"/>
      <c r="D27" s="10"/>
      <c r="E27" s="11"/>
      <c r="F27" s="11"/>
      <c r="G27" s="12"/>
      <c r="H27" s="12"/>
      <c r="I27" s="11"/>
      <c r="J27" s="11"/>
      <c r="K27" s="13"/>
      <c r="L27" s="40"/>
      <c r="M27" s="40"/>
      <c r="N27" s="40"/>
      <c r="O27" s="40"/>
      <c r="P27" s="10"/>
      <c r="Q27" s="11"/>
      <c r="R27" s="11"/>
      <c r="S27" s="12"/>
      <c r="T27" s="12"/>
      <c r="U27" s="11"/>
      <c r="V27" s="11"/>
      <c r="W27" s="13"/>
      <c r="X27" s="40"/>
      <c r="Y27" s="40"/>
      <c r="Z27" s="40"/>
      <c r="AA27" s="40"/>
      <c r="AB27" s="40"/>
      <c r="AC27" s="10"/>
      <c r="AD27" s="11"/>
      <c r="AE27" s="11"/>
      <c r="AF27" s="12"/>
      <c r="AG27" s="12"/>
      <c r="AH27" s="11"/>
      <c r="AI27" s="11"/>
      <c r="AJ27" s="13"/>
      <c r="AK27" s="40"/>
      <c r="AL27" s="40"/>
      <c r="AM27" s="44"/>
    </row>
    <row r="28" spans="1:39">
      <c r="A28" s="39"/>
      <c r="B28" s="40"/>
      <c r="C28" s="40"/>
      <c r="D28" s="10"/>
      <c r="E28" s="14"/>
      <c r="F28" s="14"/>
      <c r="G28" s="14"/>
      <c r="H28" s="14"/>
      <c r="I28" s="14"/>
      <c r="J28" s="14"/>
      <c r="K28" s="13"/>
      <c r="L28" s="40"/>
      <c r="M28" s="40"/>
      <c r="N28" s="40"/>
      <c r="O28" s="40"/>
      <c r="P28" s="10"/>
      <c r="Q28" s="14"/>
      <c r="R28" s="14"/>
      <c r="S28" s="14"/>
      <c r="T28" s="14"/>
      <c r="U28" s="14"/>
      <c r="V28" s="14"/>
      <c r="W28" s="13"/>
      <c r="X28" s="40"/>
      <c r="Y28" s="40"/>
      <c r="Z28" s="40"/>
      <c r="AA28" s="40"/>
      <c r="AB28" s="40"/>
      <c r="AC28" s="10"/>
      <c r="AD28" s="14"/>
      <c r="AE28" s="14"/>
      <c r="AF28" s="14"/>
      <c r="AG28" s="14"/>
      <c r="AH28" s="14"/>
      <c r="AI28" s="14"/>
      <c r="AJ28" s="13"/>
      <c r="AK28" s="40"/>
      <c r="AL28" s="40"/>
      <c r="AM28" s="44"/>
    </row>
    <row r="29" spans="1:39">
      <c r="A29" s="39"/>
      <c r="B29" s="40"/>
      <c r="C29" s="40"/>
      <c r="D29" s="10"/>
      <c r="E29" s="11"/>
      <c r="F29" s="11"/>
      <c r="G29" s="12"/>
      <c r="H29" s="12"/>
      <c r="I29" s="11"/>
      <c r="J29" s="11"/>
      <c r="K29" s="13"/>
      <c r="L29" s="40"/>
      <c r="M29" s="40"/>
      <c r="N29" s="40"/>
      <c r="O29" s="40"/>
      <c r="P29" s="10"/>
      <c r="Q29" s="11"/>
      <c r="R29" s="11"/>
      <c r="S29" s="12"/>
      <c r="T29" s="12"/>
      <c r="U29" s="11"/>
      <c r="V29" s="11"/>
      <c r="W29" s="13"/>
      <c r="X29" s="40"/>
      <c r="Y29" s="40"/>
      <c r="Z29" s="40"/>
      <c r="AA29" s="40"/>
      <c r="AB29" s="40"/>
      <c r="AC29" s="10"/>
      <c r="AD29" s="11"/>
      <c r="AE29" s="11"/>
      <c r="AF29" s="12"/>
      <c r="AG29" s="12"/>
      <c r="AH29" s="11"/>
      <c r="AI29" s="11"/>
      <c r="AJ29" s="13"/>
      <c r="AK29" s="40"/>
      <c r="AL29" s="40"/>
      <c r="AM29" s="44"/>
    </row>
    <row r="30" spans="1:39">
      <c r="A30" s="39"/>
      <c r="B30" s="40"/>
      <c r="C30" s="40"/>
      <c r="D30" s="10"/>
      <c r="E30" s="14"/>
      <c r="F30" s="14"/>
      <c r="G30" s="14"/>
      <c r="H30" s="14"/>
      <c r="I30" s="14"/>
      <c r="J30" s="14"/>
      <c r="K30" s="13"/>
      <c r="L30" s="40"/>
      <c r="M30" s="40"/>
      <c r="N30" s="40"/>
      <c r="O30" s="40"/>
      <c r="P30" s="10"/>
      <c r="Q30" s="14"/>
      <c r="R30" s="14"/>
      <c r="S30" s="14"/>
      <c r="T30" s="14"/>
      <c r="U30" s="14"/>
      <c r="V30" s="14"/>
      <c r="W30" s="13"/>
      <c r="X30" s="40"/>
      <c r="Y30" s="40"/>
      <c r="Z30" s="40"/>
      <c r="AA30" s="40"/>
      <c r="AB30" s="40"/>
      <c r="AC30" s="10"/>
      <c r="AD30" s="14"/>
      <c r="AE30" s="14"/>
      <c r="AF30" s="14"/>
      <c r="AG30" s="14"/>
      <c r="AH30" s="14"/>
      <c r="AI30" s="14"/>
      <c r="AJ30" s="13"/>
      <c r="AK30" s="40"/>
      <c r="AL30" s="40"/>
      <c r="AM30" s="44"/>
    </row>
    <row r="31" spans="1:39">
      <c r="A31" s="39"/>
      <c r="B31" s="40"/>
      <c r="C31" s="40"/>
      <c r="D31" s="10"/>
      <c r="E31" s="11"/>
      <c r="F31" s="11"/>
      <c r="G31" s="12"/>
      <c r="H31" s="12"/>
      <c r="I31" s="11"/>
      <c r="J31" s="11"/>
      <c r="K31" s="13"/>
      <c r="L31" s="40"/>
      <c r="M31" s="40"/>
      <c r="N31" s="40"/>
      <c r="O31" s="40"/>
      <c r="P31" s="10"/>
      <c r="Q31" s="11"/>
      <c r="R31" s="11"/>
      <c r="S31" s="12"/>
      <c r="T31" s="12"/>
      <c r="U31" s="11"/>
      <c r="V31" s="11"/>
      <c r="W31" s="13"/>
      <c r="X31" s="40"/>
      <c r="Y31" s="40"/>
      <c r="Z31" s="40"/>
      <c r="AA31" s="40"/>
      <c r="AB31" s="40"/>
      <c r="AC31" s="10"/>
      <c r="AD31" s="11"/>
      <c r="AE31" s="11"/>
      <c r="AF31" s="12"/>
      <c r="AG31" s="12"/>
      <c r="AH31" s="11"/>
      <c r="AI31" s="11"/>
      <c r="AJ31" s="13"/>
      <c r="AK31" s="40"/>
      <c r="AL31" s="40"/>
      <c r="AM31" s="44"/>
    </row>
    <row r="32" spans="1:39" ht="13.5" thickBot="1">
      <c r="A32" s="39"/>
      <c r="B32" s="40"/>
      <c r="C32" s="40"/>
      <c r="D32" s="15"/>
      <c r="E32" s="16"/>
      <c r="F32" s="16"/>
      <c r="G32" s="16"/>
      <c r="H32" s="16"/>
      <c r="I32" s="16"/>
      <c r="J32" s="16"/>
      <c r="K32" s="17"/>
      <c r="L32" s="40"/>
      <c r="M32" s="40"/>
      <c r="N32" s="40"/>
      <c r="O32" s="40"/>
      <c r="P32" s="15"/>
      <c r="Q32" s="16"/>
      <c r="R32" s="16"/>
      <c r="S32" s="16"/>
      <c r="T32" s="16"/>
      <c r="U32" s="16"/>
      <c r="V32" s="16"/>
      <c r="W32" s="17"/>
      <c r="X32" s="40"/>
      <c r="Y32" s="40"/>
      <c r="Z32" s="40"/>
      <c r="AA32" s="40"/>
      <c r="AB32" s="40"/>
      <c r="AC32" s="15"/>
      <c r="AD32" s="16"/>
      <c r="AE32" s="16"/>
      <c r="AF32" s="16"/>
      <c r="AG32" s="16"/>
      <c r="AH32" s="16"/>
      <c r="AI32" s="16"/>
      <c r="AJ32" s="17"/>
      <c r="AK32" s="40"/>
      <c r="AL32" s="40"/>
      <c r="AM32" s="44"/>
    </row>
    <row r="33" spans="1:120" ht="13.5" thickBot="1">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4"/>
    </row>
    <row r="34" spans="1:120" ht="30" customHeight="1">
      <c r="A34" s="39"/>
      <c r="B34" s="329" t="str">
        <f>IF(I19=1,"KAN (Agua)",IF(I19=2,"KUN (Tierra)",IF(I19=3,"CHEN (Trueno, madera)",IF(I19=4,"SUN (Viento, madera)",IF(I19=6,"CHIEN (Cielo, metal)",IF(I19=7,"TUI (Lago, metal)",IF(I19=8,"KEN (Montaña, tierra)",IF(I19=9,"LI (Fuego)","TAO (Tierra centro)"))))))))</f>
        <v>KUN (Tierra)</v>
      </c>
      <c r="C34" s="330"/>
      <c r="D34" s="330"/>
      <c r="E34" s="330"/>
      <c r="F34" s="330"/>
      <c r="G34" s="330"/>
      <c r="H34" s="330"/>
      <c r="I34" s="330"/>
      <c r="J34" s="330"/>
      <c r="K34" s="330"/>
      <c r="L34" s="330"/>
      <c r="M34" s="331"/>
      <c r="N34" s="40"/>
      <c r="O34" s="329" t="str">
        <f ca="1">IF(U19=1,"KAN (Agua)",IF(U19=2,"KUN (Tierra)",IF(U19=3,"CHEN (Trueno, madera)",IF(U19=4,"SUN (Viento)",IF(U19=6,"CHIEN (Cielo)",IF(U19=7,"TUI (Lago)",IF(U19=8,"KEN (Montaña)",IF(U19=9,"LI (Fuego)","TAO (Tierra centro)"))))))))</f>
        <v>KUN (Tierra)</v>
      </c>
      <c r="P34" s="330"/>
      <c r="Q34" s="330"/>
      <c r="R34" s="330"/>
      <c r="S34" s="330"/>
      <c r="T34" s="330"/>
      <c r="U34" s="330"/>
      <c r="V34" s="330"/>
      <c r="W34" s="330"/>
      <c r="X34" s="330"/>
      <c r="Y34" s="331"/>
      <c r="Z34" s="40"/>
      <c r="AA34" s="329" t="str">
        <f ca="1">IF(AG19=1,"KAN (Agua)",IF(AG19=2,"KUN (Tierra)",IF(AG19=3,"CHEN (Trueno, madera)",IF(AG19=4,"SUN (Viento, madera)",IF(AG19=6,"CHIEN (Cielo, metal)",IF(AG19=7,"TUI (Lago, metal)",IF(AG19=8,"KEN (Montaña, tierra)",IF(AG19=9,"LI (Fuego)","TAO (Tierra centro)"))))))))</f>
        <v>TAO (Tierra centro)</v>
      </c>
      <c r="AB34" s="330"/>
      <c r="AC34" s="330"/>
      <c r="AD34" s="330"/>
      <c r="AE34" s="330"/>
      <c r="AF34" s="330"/>
      <c r="AG34" s="330"/>
      <c r="AH34" s="330"/>
      <c r="AI34" s="330"/>
      <c r="AJ34" s="330"/>
      <c r="AK34" s="330"/>
      <c r="AL34" s="331"/>
      <c r="AM34" s="44"/>
    </row>
    <row r="35" spans="1:120" ht="12.75" customHeight="1">
      <c r="A35" s="39"/>
      <c r="B35" s="332"/>
      <c r="C35" s="333"/>
      <c r="D35" s="333"/>
      <c r="E35" s="333"/>
      <c r="F35" s="333"/>
      <c r="G35" s="333"/>
      <c r="H35" s="333"/>
      <c r="I35" s="333"/>
      <c r="J35" s="333"/>
      <c r="K35" s="333"/>
      <c r="L35" s="333"/>
      <c r="M35" s="334"/>
      <c r="N35" s="40"/>
      <c r="O35" s="332"/>
      <c r="P35" s="333"/>
      <c r="Q35" s="333"/>
      <c r="R35" s="333"/>
      <c r="S35" s="333"/>
      <c r="T35" s="333"/>
      <c r="U35" s="333"/>
      <c r="V35" s="333"/>
      <c r="W35" s="333"/>
      <c r="X35" s="333"/>
      <c r="Y35" s="334"/>
      <c r="Z35" s="40"/>
      <c r="AA35" s="332"/>
      <c r="AB35" s="333"/>
      <c r="AC35" s="333"/>
      <c r="AD35" s="333"/>
      <c r="AE35" s="333"/>
      <c r="AF35" s="333"/>
      <c r="AG35" s="333"/>
      <c r="AH35" s="333"/>
      <c r="AI35" s="333"/>
      <c r="AJ35" s="333"/>
      <c r="AK35" s="333"/>
      <c r="AL35" s="334"/>
      <c r="AM35" s="44"/>
    </row>
    <row r="36" spans="1:120" ht="12.75" customHeight="1">
      <c r="A36" s="39"/>
      <c r="B36" s="332"/>
      <c r="C36" s="333"/>
      <c r="D36" s="333"/>
      <c r="E36" s="333"/>
      <c r="F36" s="333"/>
      <c r="G36" s="333"/>
      <c r="H36" s="333"/>
      <c r="I36" s="333"/>
      <c r="J36" s="333"/>
      <c r="K36" s="333"/>
      <c r="L36" s="333"/>
      <c r="M36" s="334"/>
      <c r="N36" s="40"/>
      <c r="O36" s="332"/>
      <c r="P36" s="333"/>
      <c r="Q36" s="333"/>
      <c r="R36" s="333"/>
      <c r="S36" s="333"/>
      <c r="T36" s="333"/>
      <c r="U36" s="333"/>
      <c r="V36" s="333"/>
      <c r="W36" s="333"/>
      <c r="X36" s="333"/>
      <c r="Y36" s="334"/>
      <c r="Z36" s="40"/>
      <c r="AA36" s="332"/>
      <c r="AB36" s="333"/>
      <c r="AC36" s="333"/>
      <c r="AD36" s="333"/>
      <c r="AE36" s="333"/>
      <c r="AF36" s="333"/>
      <c r="AG36" s="333"/>
      <c r="AH36" s="333"/>
      <c r="AI36" s="333"/>
      <c r="AJ36" s="333"/>
      <c r="AK36" s="333"/>
      <c r="AL36" s="334"/>
      <c r="AM36" s="44"/>
    </row>
    <row r="37" spans="1:120" ht="12.75" customHeight="1">
      <c r="A37" s="39"/>
      <c r="B37" s="332"/>
      <c r="C37" s="333"/>
      <c r="D37" s="333"/>
      <c r="E37" s="333"/>
      <c r="F37" s="333"/>
      <c r="G37" s="333"/>
      <c r="H37" s="333"/>
      <c r="I37" s="333"/>
      <c r="J37" s="333"/>
      <c r="K37" s="333"/>
      <c r="L37" s="333"/>
      <c r="M37" s="334"/>
      <c r="N37" s="40"/>
      <c r="O37" s="332"/>
      <c r="P37" s="333"/>
      <c r="Q37" s="333"/>
      <c r="R37" s="333"/>
      <c r="S37" s="333"/>
      <c r="T37" s="333"/>
      <c r="U37" s="333"/>
      <c r="V37" s="333"/>
      <c r="W37" s="333"/>
      <c r="X37" s="333"/>
      <c r="Y37" s="334"/>
      <c r="Z37" s="40"/>
      <c r="AA37" s="332"/>
      <c r="AB37" s="333"/>
      <c r="AC37" s="333"/>
      <c r="AD37" s="333"/>
      <c r="AE37" s="333"/>
      <c r="AF37" s="333"/>
      <c r="AG37" s="333"/>
      <c r="AH37" s="333"/>
      <c r="AI37" s="333"/>
      <c r="AJ37" s="333"/>
      <c r="AK37" s="333"/>
      <c r="AL37" s="334"/>
      <c r="AM37" s="44"/>
    </row>
    <row r="38" spans="1:120" ht="13.5" customHeight="1" thickBot="1">
      <c r="A38" s="39"/>
      <c r="B38" s="335"/>
      <c r="C38" s="336"/>
      <c r="D38" s="336"/>
      <c r="E38" s="336"/>
      <c r="F38" s="336"/>
      <c r="G38" s="336"/>
      <c r="H38" s="336"/>
      <c r="I38" s="336"/>
      <c r="J38" s="336"/>
      <c r="K38" s="336"/>
      <c r="L38" s="336"/>
      <c r="M38" s="337"/>
      <c r="N38" s="40"/>
      <c r="O38" s="335"/>
      <c r="P38" s="336"/>
      <c r="Q38" s="336"/>
      <c r="R38" s="336"/>
      <c r="S38" s="336"/>
      <c r="T38" s="336"/>
      <c r="U38" s="336"/>
      <c r="V38" s="336"/>
      <c r="W38" s="336"/>
      <c r="X38" s="336"/>
      <c r="Y38" s="337"/>
      <c r="Z38" s="40"/>
      <c r="AA38" s="335"/>
      <c r="AB38" s="336"/>
      <c r="AC38" s="336"/>
      <c r="AD38" s="336"/>
      <c r="AE38" s="336"/>
      <c r="AF38" s="336"/>
      <c r="AG38" s="336"/>
      <c r="AH38" s="336"/>
      <c r="AI38" s="336"/>
      <c r="AJ38" s="336"/>
      <c r="AK38" s="336"/>
      <c r="AL38" s="337"/>
      <c r="AM38" s="44"/>
    </row>
    <row r="39" spans="1:120" ht="13.5" thickBot="1">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5"/>
    </row>
    <row r="40" spans="1:120" ht="63.75" customHeight="1" thickBot="1">
      <c r="A40" s="326" t="str">
        <f>CONCATENATE("La 1a Estrella el número ",TEXT(I19,"##0")," nos da la naturaleza y esencia como ser humano de ",C4)</f>
        <v>La 1a Estrella el número 2 nos da la naturaleza y esencia como ser humano de Juan</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8"/>
      <c r="CI40" s="309" t="str">
        <f ca="1">IF(S77=1,'2a Estrella '!A2,IF(S77=2,'2a Estrella '!G2,IF(S77=3,'2a Estrella '!M2,IF(S77=4,'2a Estrella '!S2,IF(S77=5,'2a Estrella '!Y2,IF(S77=6,'2a Estrella '!AE2,IF(S77=7,'2a Estrella '!AK2,IF(S77=8,'2a Estrella '!AQ2,'2a Estrella '!AW2))))))))</f>
        <v>Son personas que se caracterizan por sus pensamientos e ideas metódicas, prácticas y realistas, que se comunican con tacto, cuidado y buscan ser comprendidas en todo. Sus sentimientos emociones son suaves, se preocupan por los demás y son sumamente amables.</v>
      </c>
      <c r="CJ40" s="310"/>
      <c r="CK40" s="310"/>
      <c r="CL40" s="310"/>
      <c r="CM40" s="310"/>
      <c r="CN40" s="310"/>
      <c r="CO40" s="310"/>
      <c r="CP40" s="310"/>
      <c r="CQ40" s="310"/>
      <c r="CR40" s="311"/>
      <c r="DG40" s="309" t="str">
        <f ca="1">IF(AE77=1,'3a Estrella'!A2,IF(AE77=2,'3a Estrella'!G2,IF(AE77=3,'3a Estrella'!M2,IF(AE77=4,'3a Estrella'!S2,IF(AE77=5,'3a Estrella'!Y2,IF(AE77=6,'3a Estrella'!AE2,IF(AE77=7,'3a Estrella'!AK2,IF(AE77=8,'3a Estrella'!AQ2,'3a Estrella'!AW2))))))))</f>
        <v>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v>
      </c>
      <c r="DH40" s="310"/>
      <c r="DI40" s="310"/>
      <c r="DJ40" s="310"/>
      <c r="DK40" s="310"/>
      <c r="DL40" s="310"/>
      <c r="DM40" s="310"/>
      <c r="DN40" s="310"/>
      <c r="DO40" s="310"/>
      <c r="DP40" s="311"/>
    </row>
    <row r="41" spans="1:120" ht="84.95" customHeight="1" thickBot="1">
      <c r="A41" s="39"/>
      <c r="B41" s="259" t="str">
        <f>IF(G77=1,'1a estrella'!A2,IF(G77=2,'1a estrella'!G2,IF(G77=3,'1a estrella'!M2,IF(G77=4,'1a estrella'!S2,IF(G77=5,'1a estrella'!Y2,IF(G77=6,'1a estrella'!AE2,IF(G77=7,'1a estrella'!AK2,IF(G77=8,'1a estrella'!AQ2,'1a estrella'!AW2))))))))</f>
        <v xml:space="preserve">Su trigrama es Kun y su energía es yin; este trigrama representa a la madre, es receptivo y maternal. Suave como la arena, con un fuerte servicio de deseo y cuidado. No tienden a ser líderes, pero son excelentes como soporte de cualquier persona. Son tranquilos, pacientes, compasivos y amorosos, tienen una gran actitud de servicio y cooperación. Extremadamente sociables, buscan formar parte de grupos o personas que los guíen para no sentirse solos o perdidos. También buscan la estabilidad y el realismo y son muy detallistas, al punto de desesperar a quienes los rodean. Son hogareños y sobre protectores: Maestros de la diplomacia y las buenas relaciones, son excelentes servidores de la humanidad y el trabajo social. También necesitan tiempo para nutrirse a sí mismos; su gran capacidad de dar a los demás los puede desgastar. Su naturaleza es convencional y conservadora, amable y placentera, son un poco indecisos y obsesivos con detalles. Su naturaleza es convencional y conservadora, amable y placentera, son un poco indecisos y obsesivos con detalles. Excelentes Doctores, trabajadores </v>
      </c>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1"/>
      <c r="AM41" s="44"/>
      <c r="CI41" s="280" t="str">
        <f>IF($G$77=1,'1a estrella'!A6,IF($G$77=2,'1a estrella'!G6,IF($G$77=3,'1a estrella'!M6,IF($G$77=4,'1a estrella'!S6,IF($G$77=5,'1a estrella'!Y6,IF($G$77=6,'1a estrella'!AE6,IF($G$77=7,'1a estrella'!AK6,IF($G$77=8,'1a estrella'!AQ6,'1a estrella'!AW6))))))))</f>
        <v>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v>
      </c>
      <c r="CJ41" s="281"/>
      <c r="CK41" s="281"/>
      <c r="CL41" s="281"/>
      <c r="CM41" s="281"/>
      <c r="CN41" s="281"/>
      <c r="CO41" s="281"/>
      <c r="CP41" s="281"/>
      <c r="CQ41" s="281"/>
      <c r="CR41" s="282"/>
      <c r="CT41" s="158" t="s">
        <v>295</v>
      </c>
      <c r="CU41" s="316" t="str">
        <f>IF(VLOOKUP(CONCATENATE(LOOKUP(C8,Horóscopo!K4:L111,Horóscopo!A4:A111),R7),Ascendente!A25:D162,1)=CONCATENATE(LOOKUP(C8,Horóscopo!K4:L111,Horóscopo!A4:A111),R7),VLOOKUP(CONCATENATE(LOOKUP(C8,Horóscopo!K4:L111,Horóscopo!A4:A111),R7),Ascendente!A25:D162,4),"NO EXISTE INCOMPATIBILIDAD")</f>
        <v>NO EXISTE INCOMPATIBILIDAD CON EL ASCENDENTE</v>
      </c>
      <c r="CV41" s="317"/>
      <c r="CW41" s="317"/>
      <c r="CX41" s="317"/>
      <c r="CY41" s="317"/>
      <c r="CZ41" s="317"/>
      <c r="DA41" s="317"/>
      <c r="DB41" s="317"/>
      <c r="DC41" s="317"/>
      <c r="DD41" s="318"/>
      <c r="DF41" s="164" t="str">
        <f>CONCATENATE("CARACTERÍSTICAS DE LAS PERSONAS CON ESTE ASCENDENTE ''",R7,"''")</f>
        <v>CARACTERÍSTICAS DE LAS PERSONAS CON ESTE ASCENDENTE ''Caballo''</v>
      </c>
      <c r="DG41" s="313" t="str">
        <f>VLOOKUP(R7,Ascendente!C165:D176,2)</f>
        <v>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v>
      </c>
      <c r="DH41" s="314"/>
      <c r="DI41" s="314"/>
      <c r="DJ41" s="314"/>
      <c r="DK41" s="314"/>
      <c r="DL41" s="314"/>
      <c r="DM41" s="314"/>
      <c r="DN41" s="314"/>
      <c r="DO41" s="314"/>
      <c r="DP41" s="315"/>
    </row>
    <row r="42" spans="1:120" ht="84.95" customHeight="1">
      <c r="A42" s="39"/>
      <c r="B42" s="262" t="str">
        <f>IF($G$77=1,'1a estrella'!A6,IF($G$77=2,'1a estrella'!G6,IF($G$77=3,'1a estrella'!M6,IF($G$77=4,'1a estrella'!S6,IF($G$77=5,'1a estrella'!Y6,IF($G$77=6,'1a estrella'!AE6,IF($G$77=7,'1a estrella'!AK6,IF($G$77=8,'1a estrella'!AQ6,'1a estrella'!AW6))))))))</f>
        <v>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4"/>
      <c r="AM42" s="44"/>
    </row>
    <row r="43" spans="1:120" ht="84.95" customHeight="1">
      <c r="A43" s="39"/>
      <c r="B43" s="262" t="str">
        <f>IF($G$77=1,'1a estrella'!A10,IF($G$77=2,'1a estrella'!G10,IF($G$77=3,'1a estrella'!M10,IF($G$77=4,'1a estrella'!S10,IF($G$77=5,'1a estrella'!Y10,IF($G$77=6,'1a estrella'!AE10,IF($G$77=7,'1a estrella'!AK10,IF($G$77=8,'1a estrella'!AQ10,'1a estrella'!AW10))))))))</f>
        <v>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v>
      </c>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c r="AL43" s="264"/>
      <c r="AM43" s="44"/>
    </row>
    <row r="44" spans="1:120" ht="84.95" customHeight="1" thickBot="1">
      <c r="A44" s="39"/>
      <c r="B44" s="262" t="str">
        <f>IF($G$77=1,'1a estrella'!A14,IF($G$77=2,'1a estrella'!G14,IF($G$77=3,'1a estrella'!M14,IF($G$77=4,'1a estrella'!S14,IF($G$77=5,'1a estrella'!Y14,IF($G$77=6,'1a estrella'!AE14,IF($G$77=7,'1a estrella'!AK14,IF($G$77=8,'1a estrella'!AQ14,'1a estrella'!AW14))))))))</f>
        <v xml:space="preserve"> </v>
      </c>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c r="AL44" s="264"/>
      <c r="AM44" s="44"/>
    </row>
    <row r="45" spans="1:120" ht="63.75" customHeight="1" thickBot="1">
      <c r="A45" s="39"/>
      <c r="B45" s="326" t="str">
        <f ca="1">CONCATENATE("La 2a Estrella, el número ",TEXT(U19,"##0")," nos muestra el caracter como ser humano de          ",C4)</f>
        <v>La 2a Estrella, el número 2 nos muestra el caracter como ser humano de          Juan</v>
      </c>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8"/>
      <c r="AM45" s="44"/>
      <c r="CI45" s="309">
        <f>IF(S81=1,'2a Estrella '!A6,IF(S81=2,'2a Estrella '!G6,IF(S81=3,'2a Estrella '!M6,IF(S81=4,'2a Estrella '!S6,IF(S81=5,'2a Estrella '!Y6,IF(S81=6,'2a Estrella '!AE6,IF(S81=7,'2a Estrella '!AK6,IF(S81=8,'2a Estrella '!AQ6,'2a Estrella '!AW6))))))))</f>
        <v>0</v>
      </c>
      <c r="CJ45" s="310"/>
      <c r="CK45" s="310"/>
      <c r="CL45" s="310"/>
      <c r="CM45" s="310"/>
      <c r="CN45" s="310"/>
      <c r="CO45" s="310"/>
      <c r="CP45" s="310"/>
      <c r="CQ45" s="310"/>
      <c r="CR45" s="311"/>
      <c r="DG45" s="309">
        <f>IF(AF81=1,'3a Estrella'!A6,IF(AF81=2,'3a Estrella'!G6,IF(AF81=3,'3a Estrella'!M6,IF(AF81=4,'3a Estrella'!S6,IF(AF81=5,'3a Estrella'!Y6,IF(AF81=6,'3a Estrella'!AE6,IF(AF81=7,'3a Estrella'!AK6,IF(AF81=8,'3a Estrella'!AQ6,'3a Estrella'!AW6))))))))</f>
        <v>0</v>
      </c>
      <c r="DH45" s="310"/>
      <c r="DI45" s="310"/>
      <c r="DJ45" s="310"/>
      <c r="DK45" s="310"/>
      <c r="DL45" s="310"/>
      <c r="DM45" s="310"/>
      <c r="DN45" s="310"/>
      <c r="DO45" s="310"/>
      <c r="DP45" s="311"/>
    </row>
    <row r="46" spans="1:120" ht="84.95" customHeight="1" thickBot="1">
      <c r="A46" s="39"/>
      <c r="B46" s="259" t="str">
        <f ca="1">IF(S77=1,'2a Estrella '!A2,IF(S77=2,'2a Estrella '!G2,IF(S77=3,'2a Estrella '!M2,IF(S77=4,'2a Estrella '!S2,IF(S77=5,'2a Estrella '!Y2,IF(S77=6,'2a Estrella '!AE2,IF(S77=7,'2a Estrella '!AK2,IF(S77=8,'2a Estrella '!AQ2,'2a Estrella '!AW2))))))))</f>
        <v>Son personas que se caracterizan por sus pensamientos e ideas metódicas, prácticas y realistas, que se comunican con tacto, cuidado y buscan ser comprendidas en todo. Sus sentimientos emociones son suaves, se preocupan por los demás y son sumamente amables.</v>
      </c>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1"/>
      <c r="AM46" s="44"/>
      <c r="CI46" s="280" t="str">
        <f>IF($G$77=1,'1a estrella'!A10,IF($G$77=2,'1a estrella'!G10,IF($G$77=3,'1a estrella'!M10,IF($G$77=4,'1a estrella'!S10,IF($G$77=5,'1a estrella'!Y10,IF($G$77=6,'1a estrella'!AE10,IF($G$77=7,'1a estrella'!AK10,IF($G$77=8,'1a estrella'!AQ10,'1a estrella'!AW10))))))))</f>
        <v>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v>
      </c>
      <c r="CJ46" s="281"/>
      <c r="CK46" s="281"/>
      <c r="CL46" s="281"/>
      <c r="CM46" s="281"/>
      <c r="CN46" s="281"/>
      <c r="CO46" s="281"/>
      <c r="CP46" s="281"/>
      <c r="CQ46" s="281"/>
      <c r="CR46" s="282"/>
      <c r="CT46" s="158" t="s">
        <v>295</v>
      </c>
      <c r="CU46" s="316" t="e">
        <f>IF(VLOOKUP(CONCATENATE(LOOKUP(C11,Horóscopo!K8:L115,Horóscopo!A8:A115),#REF!),Ascendente!A51:D166,1)=CONCATENATE(LOOKUP(C11,Horóscopo!K8:L115,Horóscopo!A8:A115),#REF!),VLOOKUP(CONCATENATE(LOOKUP(C11,Horóscopo!K8:L115,Horóscopo!A8:A115),#REF!),Ascendente!A51:D166,4),"NO EXISTE INCOMPATIBILIDAD")</f>
        <v>#N/A</v>
      </c>
      <c r="CV46" s="317"/>
      <c r="CW46" s="317"/>
      <c r="CX46" s="317"/>
      <c r="CY46" s="317"/>
      <c r="CZ46" s="317"/>
      <c r="DA46" s="317"/>
      <c r="DB46" s="317"/>
      <c r="DC46" s="317"/>
      <c r="DD46" s="318"/>
      <c r="DF46" s="164" t="e">
        <f>CONCATENATE("CARACTERÍSTICAS DE LAS PERSONAS CON ESTE ASCENDENTE ''",#REF!,"''")</f>
        <v>#REF!</v>
      </c>
      <c r="DG46" s="313" t="e">
        <f>VLOOKUP(#REF!,Ascendente!C169:D180,2)</f>
        <v>#REF!</v>
      </c>
      <c r="DH46" s="314"/>
      <c r="DI46" s="314"/>
      <c r="DJ46" s="314"/>
      <c r="DK46" s="314"/>
      <c r="DL46" s="314"/>
      <c r="DM46" s="314"/>
      <c r="DN46" s="314"/>
      <c r="DO46" s="314"/>
      <c r="DP46" s="315"/>
    </row>
    <row r="47" spans="1:120" ht="63.75" customHeight="1" thickBot="1">
      <c r="A47" s="39"/>
      <c r="B47" s="409" t="str">
        <f ca="1">CONCATENATE("La 3a Estrella, el número ",TEXT(AG19,"##0")," nos muestra la misión en la vida y los aspectos que debe trabajar como ser humano ",C4)</f>
        <v>La 3a Estrella, el número 5 nos muestra la misión en la vida y los aspectos que debe trabajar como ser humano Juan</v>
      </c>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1"/>
      <c r="AM47" s="44"/>
      <c r="CI47" s="309">
        <f>IF(S84=1,'2a Estrella '!A9,IF(S84=2,'2a Estrella '!G9,IF(S84=3,'2a Estrella '!M9,IF(S84=4,'2a Estrella '!S9,IF(S84=5,'2a Estrella '!Y9,IF(S84=6,'2a Estrella '!AE9,IF(S84=7,'2a Estrella '!AK9,IF(S84=8,'2a Estrella '!AQ9,'2a Estrella '!AW9))))))))</f>
        <v>0</v>
      </c>
      <c r="CJ47" s="310"/>
      <c r="CK47" s="310"/>
      <c r="CL47" s="310"/>
      <c r="CM47" s="310"/>
      <c r="CN47" s="310"/>
      <c r="CO47" s="310"/>
      <c r="CP47" s="310"/>
      <c r="CQ47" s="310"/>
      <c r="CR47" s="311"/>
      <c r="DG47" s="309">
        <f>IF(AF84=1,'3a Estrella'!A9,IF(AF84=2,'3a Estrella'!G9,IF(AF84=3,'3a Estrella'!M9,IF(AF84=4,'3a Estrella'!S9,IF(AF84=5,'3a Estrella'!Y9,IF(AF84=6,'3a Estrella'!AE9,IF(AF84=7,'3a Estrella'!AK9,IF(AF84=8,'3a Estrella'!AQ9,'3a Estrella'!AW9))))))))</f>
        <v>0</v>
      </c>
      <c r="DH47" s="310"/>
      <c r="DI47" s="310"/>
      <c r="DJ47" s="310"/>
      <c r="DK47" s="310"/>
      <c r="DL47" s="310"/>
      <c r="DM47" s="310"/>
      <c r="DN47" s="310"/>
      <c r="DO47" s="310"/>
      <c r="DP47" s="311"/>
    </row>
    <row r="48" spans="1:120" ht="60" customHeight="1" thickBot="1">
      <c r="A48" s="41"/>
      <c r="B48" s="299" t="str">
        <f ca="1">IF(AE77=1,'3a Estrella'!A2,IF(AE77=2,'3a Estrella'!G2,IF(AE77=3,'3a Estrella'!M2,IF(AE77=4,'3a Estrella'!S2,IF(AE77=5,'3a Estrella'!Y2,IF(AE77=6,'3a Estrella'!AE2,IF(AE77=7,'3a Estrella'!AK2,IF(AE77=8,'3a Estrella'!AQ2,'3a Estrella'!AW2))))))))</f>
        <v>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v>
      </c>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1"/>
      <c r="AM48" s="45"/>
      <c r="CI48" s="280">
        <f>IF($G$77=1,'1a estrella'!A13,IF($G$77=2,'1a estrella'!G13,IF($G$77=3,'1a estrella'!M13,IF($G$77=4,'1a estrella'!S13,IF($G$77=5,'1a estrella'!Y13,IF($G$77=6,'1a estrella'!AE13,IF($G$77=7,'1a estrella'!AK13,IF($G$77=8,'1a estrella'!AQ13,'1a estrella'!AW13))))))))</f>
        <v>0</v>
      </c>
      <c r="CJ48" s="281"/>
      <c r="CK48" s="281"/>
      <c r="CL48" s="281"/>
      <c r="CM48" s="281"/>
      <c r="CN48" s="281"/>
      <c r="CO48" s="281"/>
      <c r="CP48" s="281"/>
      <c r="CQ48" s="281"/>
      <c r="CR48" s="282"/>
      <c r="CT48" s="158" t="s">
        <v>295</v>
      </c>
      <c r="CU48" s="316" t="e">
        <f>IF(VLOOKUP(CONCATENATE(LOOKUP(C14,Horóscopo!K11:L118,Horóscopo!A11:A118),R13),Ascendente!A104:D169,1)=CONCATENATE(LOOKUP(C14,Horóscopo!K11:L118,Horóscopo!A11:A118),R13),VLOOKUP(CONCATENATE(LOOKUP(C14,Horóscopo!K11:L118,Horóscopo!A11:A118),R13),Ascendente!A104:D169,4),"NO EXISTE INCOMPATIBILIDAD")</f>
        <v>#N/A</v>
      </c>
      <c r="CV48" s="317"/>
      <c r="CW48" s="317"/>
      <c r="CX48" s="317"/>
      <c r="CY48" s="317"/>
      <c r="CZ48" s="317"/>
      <c r="DA48" s="317"/>
      <c r="DB48" s="317"/>
      <c r="DC48" s="317"/>
      <c r="DD48" s="318"/>
      <c r="DF48" s="164" t="str">
        <f>CONCATENATE("CARACTERÍSTICAS DE LAS PERSONAS CON ESTE ASCENDENTE ''",R13,"''")</f>
        <v>CARACTERÍSTICAS DE LAS PERSONAS CON ESTE ASCENDENTE ''''</v>
      </c>
      <c r="DG48" s="313" t="e">
        <f>VLOOKUP(R13,Ascendente!C172:D183,2)</f>
        <v>#N/A</v>
      </c>
      <c r="DH48" s="314"/>
      <c r="DI48" s="314"/>
      <c r="DJ48" s="314"/>
      <c r="DK48" s="314"/>
      <c r="DL48" s="314"/>
      <c r="DM48" s="314"/>
      <c r="DN48" s="314"/>
      <c r="DO48" s="314"/>
      <c r="DP48" s="315"/>
    </row>
    <row r="49" spans="1:120" ht="63.75" customHeight="1" thickBot="1">
      <c r="A49" s="37"/>
      <c r="B49" s="406" t="str">
        <f>CONCATENATE("OTRAS CARACTERÍSTICAS DE LA GENTE ''",LOOKUP(C8,Horóscopo!K4:L123,Horóscopo!A4:A123),"''")</f>
        <v>OTRAS CARACTERÍSTICAS DE LA GENTE ''Serpiente''</v>
      </c>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8"/>
      <c r="AM49" s="43"/>
      <c r="CI49" s="309">
        <f>IF(S86=1,'2a Estrella '!A11,IF(S86=2,'2a Estrella '!G11,IF(S86=3,'2a Estrella '!M11,IF(S86=4,'2a Estrella '!S11,IF(S86=5,'2a Estrella '!Y11,IF(S86=6,'2a Estrella '!AE11,IF(S86=7,'2a Estrella '!AK11,IF(S86=8,'2a Estrella '!AQ11,'2a Estrella '!AW11))))))))</f>
        <v>0</v>
      </c>
      <c r="CJ49" s="310"/>
      <c r="CK49" s="310"/>
      <c r="CL49" s="310"/>
      <c r="CM49" s="310"/>
      <c r="CN49" s="310"/>
      <c r="CO49" s="310"/>
      <c r="CP49" s="310"/>
      <c r="CQ49" s="310"/>
      <c r="CR49" s="311"/>
      <c r="DG49" s="309">
        <f>IF(AF86=1,'3a Estrella'!A11,IF(AF86=2,'3a Estrella'!G11,IF(AF86=3,'3a Estrella'!M11,IF(AF86=4,'3a Estrella'!S11,IF(AF86=5,'3a Estrella'!Y11,IF(AF86=6,'3a Estrella'!AE11,IF(AF86=7,'3a Estrella'!AK11,IF(AF86=8,'3a Estrella'!AQ11,'3a Estrella'!AW11))))))))</f>
        <v>0</v>
      </c>
      <c r="DH49" s="310"/>
      <c r="DI49" s="310"/>
      <c r="DJ49" s="310"/>
      <c r="DK49" s="310"/>
      <c r="DL49" s="310"/>
      <c r="DM49" s="310"/>
      <c r="DN49" s="310"/>
      <c r="DO49" s="310"/>
      <c r="DP49" s="311"/>
    </row>
    <row r="50" spans="1:120" ht="84.95" customHeight="1" thickBot="1">
      <c r="A50" s="39"/>
      <c r="B50" s="259" t="str">
        <f>+'Signo Resultado'!B9</f>
        <v>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v>
      </c>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1"/>
      <c r="AM50" s="44"/>
    </row>
    <row r="51" spans="1:120" ht="84.95" customHeight="1" thickBot="1">
      <c r="A51" s="39"/>
      <c r="B51" s="262" t="str">
        <f>+'Signo Resultado'!M9</f>
        <v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4"/>
      <c r="AM51" s="44"/>
      <c r="CI51" s="280"/>
      <c r="CJ51" s="281"/>
      <c r="CK51" s="281"/>
      <c r="CL51" s="281"/>
      <c r="CM51" s="281"/>
      <c r="CN51" s="281"/>
      <c r="CO51" s="281"/>
      <c r="CP51" s="281"/>
      <c r="CQ51" s="281"/>
      <c r="CR51" s="282"/>
      <c r="CT51" s="158"/>
      <c r="CU51" s="316"/>
      <c r="CV51" s="317"/>
      <c r="CW51" s="317"/>
      <c r="CX51" s="317"/>
      <c r="CY51" s="317"/>
      <c r="CZ51" s="317"/>
      <c r="DA51" s="317"/>
      <c r="DB51" s="317"/>
      <c r="DC51" s="317"/>
      <c r="DD51" s="318"/>
      <c r="DF51" s="164"/>
      <c r="DG51" s="313"/>
      <c r="DH51" s="314"/>
      <c r="DI51" s="314"/>
      <c r="DJ51" s="314"/>
      <c r="DK51" s="314"/>
      <c r="DL51" s="314"/>
      <c r="DM51" s="314"/>
      <c r="DN51" s="314"/>
      <c r="DO51" s="314"/>
      <c r="DP51" s="315"/>
    </row>
    <row r="52" spans="1:120" ht="60" customHeight="1" thickBot="1">
      <c r="A52" s="39"/>
      <c r="B52" s="283" t="str">
        <f>+'Signo Resultado'!X9</f>
        <v>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v>
      </c>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5"/>
      <c r="AM52" s="44"/>
      <c r="CI52" s="280"/>
      <c r="CJ52" s="281"/>
      <c r="CK52" s="281"/>
      <c r="CL52" s="281"/>
      <c r="CM52" s="281"/>
      <c r="CN52" s="281"/>
      <c r="CO52" s="281"/>
      <c r="CP52" s="281"/>
      <c r="CQ52" s="281"/>
      <c r="CR52" s="282"/>
      <c r="CT52" s="158"/>
      <c r="CU52" s="316"/>
      <c r="CV52" s="317"/>
      <c r="CW52" s="317"/>
      <c r="CX52" s="317"/>
      <c r="CY52" s="317"/>
      <c r="CZ52" s="317"/>
      <c r="DA52" s="317"/>
      <c r="DB52" s="317"/>
      <c r="DC52" s="317"/>
      <c r="DD52" s="318"/>
      <c r="DF52" s="164"/>
      <c r="DG52" s="313"/>
      <c r="DH52" s="314"/>
      <c r="DI52" s="314"/>
      <c r="DJ52" s="314"/>
      <c r="DK52" s="314"/>
      <c r="DL52" s="314"/>
      <c r="DM52" s="314"/>
      <c r="DN52" s="314"/>
      <c r="DO52" s="314"/>
      <c r="DP52" s="315"/>
    </row>
    <row r="53" spans="1:120" ht="63.75" customHeight="1" thickBot="1">
      <c r="A53" s="39"/>
      <c r="B53" s="424" t="s">
        <v>357</v>
      </c>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6"/>
      <c r="AM53" s="44"/>
      <c r="CI53" s="309">
        <f>IF(S87=1,'2a Estrella '!A12,IF(S87=2,'2a Estrella '!G12,IF(S87=3,'2a Estrella '!M12,IF(S87=4,'2a Estrella '!S12,IF(S87=5,'2a Estrella '!Y12,IF(S87=6,'2a Estrella '!AE12,IF(S87=7,'2a Estrella '!AK12,IF(S87=8,'2a Estrella '!AQ12,'2a Estrella '!AW12))))))))</f>
        <v>0</v>
      </c>
      <c r="CJ53" s="310"/>
      <c r="CK53" s="310"/>
      <c r="CL53" s="310"/>
      <c r="CM53" s="310"/>
      <c r="CN53" s="310"/>
      <c r="CO53" s="310"/>
      <c r="CP53" s="310"/>
      <c r="CQ53" s="310"/>
      <c r="CR53" s="311"/>
      <c r="DG53" s="309">
        <f>IF(AF87=1,'3a Estrella'!A12,IF(AF87=2,'3a Estrella'!G12,IF(AF87=3,'3a Estrella'!M12,IF(AF87=4,'3a Estrella'!S12,IF(AF87=5,'3a Estrella'!Y12,IF(AF87=6,'3a Estrella'!AE12,IF(AF87=7,'3a Estrella'!AK12,IF(AF87=8,'3a Estrella'!AQ12,'3a Estrella'!AW12))))))))</f>
        <v>0</v>
      </c>
      <c r="DH53" s="310"/>
      <c r="DI53" s="310"/>
      <c r="DJ53" s="310"/>
      <c r="DK53" s="310"/>
      <c r="DL53" s="310"/>
      <c r="DM53" s="310"/>
      <c r="DN53" s="310"/>
      <c r="DO53" s="310"/>
      <c r="DP53" s="311"/>
    </row>
    <row r="54" spans="1:120" ht="34.5" customHeight="1" thickBot="1">
      <c r="A54" s="39"/>
      <c r="B54" s="418" t="s">
        <v>5</v>
      </c>
      <c r="C54" s="419"/>
      <c r="D54" s="419"/>
      <c r="E54" s="419"/>
      <c r="F54" s="419"/>
      <c r="G54" s="419"/>
      <c r="H54" s="419"/>
      <c r="I54" s="419"/>
      <c r="J54" s="419"/>
      <c r="K54" s="419"/>
      <c r="L54" s="419"/>
      <c r="M54" s="419"/>
      <c r="N54" s="419"/>
      <c r="O54" s="419"/>
      <c r="P54" s="419"/>
      <c r="Q54" s="419"/>
      <c r="R54" s="419"/>
      <c r="S54" s="420"/>
      <c r="T54" s="40"/>
      <c r="U54" s="418" t="str">
        <f>CONCATENATE("CARACTERÍSTICAS DE LAS PERSONAS ",R5," CON ESTE ASCENDENTE ''",R7,"''")</f>
        <v>CARACTERÍSTICAS DE LAS PERSONAS Serpiente de Agua CON ESTE ASCENDENTE ''Caballo''</v>
      </c>
      <c r="V54" s="419"/>
      <c r="W54" s="419"/>
      <c r="X54" s="419"/>
      <c r="Y54" s="419"/>
      <c r="Z54" s="419"/>
      <c r="AA54" s="419"/>
      <c r="AB54" s="419"/>
      <c r="AC54" s="419"/>
      <c r="AD54" s="419"/>
      <c r="AE54" s="419"/>
      <c r="AF54" s="419"/>
      <c r="AG54" s="419"/>
      <c r="AH54" s="419"/>
      <c r="AI54" s="419"/>
      <c r="AJ54" s="419"/>
      <c r="AK54" s="419"/>
      <c r="AL54" s="420"/>
      <c r="AM54" s="44"/>
    </row>
    <row r="55" spans="1:120" ht="76.5" customHeight="1" thickBot="1">
      <c r="A55" s="39"/>
      <c r="B55" s="316" t="str">
        <f>VLOOKUP(CONCATENATE(LOOKUP(C8,Horóscopo!K4:L123,Horóscopo!A4:A123),VLOOKUP(L7,Ascendente!A2:C15,3)),Ascendente!A19:D162,4)</f>
        <v>NO EXISTE INCOMPATIBILIDAD CON EL ASCENDENTE</v>
      </c>
      <c r="C55" s="427"/>
      <c r="D55" s="427"/>
      <c r="E55" s="427"/>
      <c r="F55" s="427"/>
      <c r="G55" s="427"/>
      <c r="H55" s="427"/>
      <c r="I55" s="427"/>
      <c r="J55" s="427"/>
      <c r="K55" s="427"/>
      <c r="L55" s="427"/>
      <c r="M55" s="427"/>
      <c r="N55" s="427"/>
      <c r="O55" s="427"/>
      <c r="P55" s="427"/>
      <c r="Q55" s="427"/>
      <c r="R55" s="427"/>
      <c r="S55" s="428"/>
      <c r="T55" s="40"/>
      <c r="U55" s="421" t="str">
        <f>VLOOKUP(R7,Ascendente!C165:D176,2)</f>
        <v>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v>
      </c>
      <c r="V55" s="422"/>
      <c r="W55" s="422"/>
      <c r="X55" s="422"/>
      <c r="Y55" s="422"/>
      <c r="Z55" s="422"/>
      <c r="AA55" s="422"/>
      <c r="AB55" s="422"/>
      <c r="AC55" s="422"/>
      <c r="AD55" s="422"/>
      <c r="AE55" s="422"/>
      <c r="AF55" s="422"/>
      <c r="AG55" s="422"/>
      <c r="AH55" s="422"/>
      <c r="AI55" s="422"/>
      <c r="AJ55" s="422"/>
      <c r="AK55" s="422"/>
      <c r="AL55" s="423"/>
      <c r="AM55" s="44"/>
    </row>
    <row r="56" spans="1:120" ht="13.5" thickBot="1">
      <c r="A56" s="41"/>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5"/>
    </row>
    <row r="57" spans="1:120" ht="27" customHeight="1" thickBot="1">
      <c r="A57" s="37"/>
      <c r="B57" s="415" t="s">
        <v>20</v>
      </c>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7"/>
      <c r="AM57" s="43"/>
    </row>
    <row r="58" spans="1:120">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4"/>
    </row>
    <row r="59" spans="1:120" ht="16.5" customHeight="1" thickBot="1">
      <c r="A59" s="39"/>
      <c r="B59" s="432" t="s">
        <v>43</v>
      </c>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4"/>
      <c r="AM59" s="44"/>
    </row>
    <row r="60" spans="1:120" ht="94.5" customHeight="1" thickBot="1">
      <c r="A60" s="39"/>
      <c r="B60" s="299" t="str">
        <f>+'Compativilidad de Pareja'!I7</f>
        <v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v>
      </c>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1"/>
      <c r="AM60" s="44"/>
    </row>
    <row r="61" spans="1:120" ht="13.5" thickBot="1">
      <c r="A61" s="39"/>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4"/>
    </row>
    <row r="62" spans="1:120" ht="13.5" thickBot="1">
      <c r="A62" s="39"/>
      <c r="B62" s="299" t="str">
        <f>+'Compativilidad de Pareja'!J7</f>
        <v>A continuación les damos un mayor apoyo en función de los elementos en la relación con respecto al amor, al sexo y al romance en una relación sentimental.</v>
      </c>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1"/>
      <c r="AM62" s="44"/>
    </row>
    <row r="63" spans="1:120" ht="13.5" thickBot="1">
      <c r="A63" s="3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4"/>
    </row>
    <row r="64" spans="1:120" ht="16.5" thickBot="1">
      <c r="A64" s="39"/>
      <c r="B64" s="302" t="s">
        <v>59</v>
      </c>
      <c r="C64" s="303"/>
      <c r="D64" s="303"/>
      <c r="E64" s="303"/>
      <c r="F64" s="303"/>
      <c r="G64" s="303"/>
      <c r="H64" s="303"/>
      <c r="I64" s="303"/>
      <c r="J64" s="303"/>
      <c r="K64" s="303"/>
      <c r="L64" s="303"/>
      <c r="M64" s="303"/>
      <c r="N64" s="303"/>
      <c r="O64" s="303"/>
      <c r="P64" s="303"/>
      <c r="Q64" s="303"/>
      <c r="R64" s="303"/>
      <c r="S64" s="304"/>
      <c r="T64" s="269" t="str">
        <f>UPPER('Compativilidad de Pareja'!H3)</f>
        <v>TIERRA-MADERA</v>
      </c>
      <c r="U64" s="270"/>
      <c r="V64" s="270"/>
      <c r="W64" s="270"/>
      <c r="X64" s="270"/>
      <c r="Y64" s="270"/>
      <c r="Z64" s="270"/>
      <c r="AA64" s="270"/>
      <c r="AB64" s="270"/>
      <c r="AC64" s="270"/>
      <c r="AD64" s="270"/>
      <c r="AE64" s="270"/>
      <c r="AF64" s="270"/>
      <c r="AG64" s="270"/>
      <c r="AH64" s="270"/>
      <c r="AI64" s="270"/>
      <c r="AJ64" s="270"/>
      <c r="AK64" s="270"/>
      <c r="AL64" s="271"/>
      <c r="AM64" s="44"/>
    </row>
    <row r="65" spans="1:39" ht="93" customHeight="1" thickBot="1">
      <c r="A65" s="39"/>
      <c r="B65" s="299" t="str">
        <f>+'Compativilidad de Pareja'!I3</f>
        <v>La impulsividad de la madera puede destruir el romanticismo de la tierra. Se atraen con mucha fuerza, pero les cuesta trabajo comunicarse.</v>
      </c>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1"/>
      <c r="AM65" s="44"/>
    </row>
    <row r="66" spans="1:39" ht="13.5" thickBot="1">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4"/>
    </row>
    <row r="67" spans="1:39" ht="16.5" customHeight="1" thickBot="1">
      <c r="A67" s="39"/>
      <c r="B67" s="286" t="str">
        <f>+'Compativilidad de Pareja'!E6</f>
        <v>PERSONALIDAD DE LA PAREJA</v>
      </c>
      <c r="C67" s="287"/>
      <c r="D67" s="287"/>
      <c r="E67" s="287"/>
      <c r="F67" s="287"/>
      <c r="G67" s="287"/>
      <c r="H67" s="287"/>
      <c r="I67" s="287"/>
      <c r="J67" s="287"/>
      <c r="K67" s="287"/>
      <c r="L67" s="288"/>
      <c r="M67" s="312"/>
      <c r="N67" s="40"/>
      <c r="O67" s="286" t="str">
        <f>+'Compativilidad de Pareja'!F6</f>
        <v>CARÁCTER DE LA PAREJA</v>
      </c>
      <c r="P67" s="287"/>
      <c r="Q67" s="287"/>
      <c r="R67" s="287"/>
      <c r="S67" s="287"/>
      <c r="T67" s="287"/>
      <c r="U67" s="287"/>
      <c r="V67" s="287"/>
      <c r="W67" s="287"/>
      <c r="X67" s="287"/>
      <c r="Y67" s="288"/>
      <c r="Z67" s="40"/>
      <c r="AA67" s="40"/>
      <c r="AB67" s="412" t="str">
        <f>+'Compativilidad de Pareja'!G6</f>
        <v>ENERGÍA DE LA PAREJA</v>
      </c>
      <c r="AC67" s="413"/>
      <c r="AD67" s="413"/>
      <c r="AE67" s="413"/>
      <c r="AF67" s="413"/>
      <c r="AG67" s="413"/>
      <c r="AH67" s="413"/>
      <c r="AI67" s="413"/>
      <c r="AJ67" s="413"/>
      <c r="AK67" s="413"/>
      <c r="AL67" s="414"/>
      <c r="AM67" s="44"/>
    </row>
    <row r="68" spans="1:39" ht="69.75" customHeight="1" thickBot="1">
      <c r="A68" s="39"/>
      <c r="B68" s="299" t="str">
        <f>+'Compativilidad de Pareja'!E3</f>
        <v>En personalidad, usted imprimirá el cariño y la imagen de soliradidad, mientras que su pareja provee alegría y frescura, así como creatividad a la relación.</v>
      </c>
      <c r="C68" s="300"/>
      <c r="D68" s="300"/>
      <c r="E68" s="300"/>
      <c r="F68" s="300"/>
      <c r="G68" s="300"/>
      <c r="H68" s="300"/>
      <c r="I68" s="300"/>
      <c r="J68" s="300"/>
      <c r="K68" s="300"/>
      <c r="L68" s="301"/>
      <c r="M68" s="312"/>
      <c r="N68" s="40"/>
      <c r="O68" s="429" t="str">
        <f ca="1">+'Compativilidad de Pareja'!F3</f>
        <v>En personalidad ambos se divierten y apoyan, su pareja es divertido y juguetón, mientras que usted calma sus impulsos por medio de su suavidad.</v>
      </c>
      <c r="P68" s="430"/>
      <c r="Q68" s="430"/>
      <c r="R68" s="430"/>
      <c r="S68" s="430"/>
      <c r="T68" s="430"/>
      <c r="U68" s="430"/>
      <c r="V68" s="430"/>
      <c r="W68" s="430"/>
      <c r="X68" s="430"/>
      <c r="Y68" s="431"/>
      <c r="Z68" s="40"/>
      <c r="AA68" s="40"/>
      <c r="AB68" s="429" t="str">
        <f ca="1">+'Compativilidad de Pareja'!G3</f>
        <v>En el número energético son una combinación muy poderosa. Impresionan con su imagen de prestigio, poder y seguridad.</v>
      </c>
      <c r="AC68" s="430"/>
      <c r="AD68" s="430"/>
      <c r="AE68" s="430"/>
      <c r="AF68" s="430"/>
      <c r="AG68" s="430"/>
      <c r="AH68" s="430"/>
      <c r="AI68" s="430"/>
      <c r="AJ68" s="430"/>
      <c r="AK68" s="430"/>
      <c r="AL68" s="431"/>
      <c r="AM68" s="44"/>
    </row>
    <row r="69" spans="1:39" ht="13.5" thickBot="1">
      <c r="A69" s="41"/>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5"/>
    </row>
    <row r="70" spans="1:39" ht="18.75" customHeight="1" thickBot="1">
      <c r="A70" s="37"/>
      <c r="B70" s="435" t="str">
        <f>+'Signo Resultado'!B10</f>
        <v>Personajes Serpiente:</v>
      </c>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7"/>
      <c r="AM70" s="43"/>
    </row>
    <row r="71" spans="1:39" ht="67.5" customHeight="1" thickBot="1">
      <c r="A71" s="39"/>
      <c r="B71" s="438" t="str">
        <f>+'Signo Resultado'!B11</f>
        <v>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v>
      </c>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c r="AI71" s="439"/>
      <c r="AJ71" s="439"/>
      <c r="AK71" s="439"/>
      <c r="AL71" s="440"/>
      <c r="AM71" s="44"/>
    </row>
    <row r="72" spans="1:39" ht="12.75" customHeight="1">
      <c r="A72" s="39"/>
      <c r="B72" s="293" t="s">
        <v>221</v>
      </c>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5"/>
      <c r="AM72" s="44"/>
    </row>
    <row r="73" spans="1:39" ht="12.75" customHeight="1" thickBot="1">
      <c r="A73" s="39"/>
      <c r="B73" s="296"/>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8"/>
      <c r="AM73" s="44"/>
    </row>
    <row r="74" spans="1:39" ht="13.5" thickBot="1">
      <c r="A74" s="39"/>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4"/>
    </row>
    <row r="75" spans="1:39" ht="13.5" thickBot="1">
      <c r="A75" s="39"/>
      <c r="B75" s="40"/>
      <c r="C75" s="40"/>
      <c r="D75" s="40"/>
      <c r="E75" s="47" t="s">
        <v>100</v>
      </c>
      <c r="F75" s="48" t="s">
        <v>101</v>
      </c>
      <c r="G75" s="247" t="s">
        <v>102</v>
      </c>
      <c r="H75" s="247"/>
      <c r="I75" s="48" t="s">
        <v>103</v>
      </c>
      <c r="J75" s="50" t="s">
        <v>104</v>
      </c>
      <c r="K75" s="40"/>
      <c r="L75" s="40"/>
      <c r="M75" s="40"/>
      <c r="N75" s="40"/>
      <c r="O75" s="40"/>
      <c r="P75" s="40"/>
      <c r="Q75" s="47" t="s">
        <v>100</v>
      </c>
      <c r="R75" s="48" t="s">
        <v>101</v>
      </c>
      <c r="S75" s="247" t="s">
        <v>102</v>
      </c>
      <c r="T75" s="247"/>
      <c r="U75" s="48" t="s">
        <v>103</v>
      </c>
      <c r="V75" s="50" t="s">
        <v>104</v>
      </c>
      <c r="W75" s="40"/>
      <c r="X75" s="40"/>
      <c r="Y75" s="40"/>
      <c r="Z75" s="40"/>
      <c r="AA75" s="40"/>
      <c r="AB75" s="40"/>
      <c r="AC75" s="47" t="s">
        <v>100</v>
      </c>
      <c r="AD75" s="48" t="s">
        <v>101</v>
      </c>
      <c r="AE75" s="247" t="s">
        <v>102</v>
      </c>
      <c r="AF75" s="247"/>
      <c r="AG75" s="48" t="s">
        <v>103</v>
      </c>
      <c r="AH75" s="50" t="s">
        <v>104</v>
      </c>
      <c r="AI75" s="40"/>
      <c r="AJ75" s="40"/>
      <c r="AK75" s="40"/>
      <c r="AL75" s="40"/>
      <c r="AM75" s="44"/>
    </row>
    <row r="76" spans="1:39">
      <c r="A76" s="39"/>
      <c r="B76" s="40"/>
      <c r="C76" s="40"/>
      <c r="D76" s="40"/>
      <c r="E76" s="51" t="s">
        <v>105</v>
      </c>
      <c r="F76" s="52">
        <f>IF(G77-1&lt;1,9,G77-1)</f>
        <v>1</v>
      </c>
      <c r="G76" s="248">
        <f>IF(G78-1&lt;1,9,G78-1)</f>
        <v>6</v>
      </c>
      <c r="H76" s="248"/>
      <c r="I76" s="54">
        <f>IF(F77-1&lt;1,9,F77-1)</f>
        <v>8</v>
      </c>
      <c r="J76" s="55" t="s">
        <v>106</v>
      </c>
      <c r="K76" s="40"/>
      <c r="L76" s="40"/>
      <c r="M76" s="40"/>
      <c r="N76" s="40"/>
      <c r="O76" s="40"/>
      <c r="P76" s="40"/>
      <c r="Q76" s="51" t="s">
        <v>105</v>
      </c>
      <c r="R76" s="52">
        <f ca="1">IF(S77-1&lt;1,9,S77-1)</f>
        <v>1</v>
      </c>
      <c r="S76" s="248">
        <f ca="1">IF(S78-1&lt;1,9,S78-1)</f>
        <v>6</v>
      </c>
      <c r="T76" s="248"/>
      <c r="U76" s="54">
        <f ca="1">IF(R77-1&lt;1,9,R77-1)</f>
        <v>8</v>
      </c>
      <c r="V76" s="55" t="s">
        <v>106</v>
      </c>
      <c r="W76" s="40"/>
      <c r="X76" s="40"/>
      <c r="Y76" s="40"/>
      <c r="Z76" s="40"/>
      <c r="AA76" s="40"/>
      <c r="AB76" s="40"/>
      <c r="AC76" s="51" t="s">
        <v>105</v>
      </c>
      <c r="AD76" s="52">
        <f ca="1">IF(AE77-1&lt;1,9,AE77-1)</f>
        <v>4</v>
      </c>
      <c r="AE76" s="248">
        <f ca="1">IF(AE78-1&lt;1,9,AE78-1)</f>
        <v>9</v>
      </c>
      <c r="AF76" s="248"/>
      <c r="AG76" s="54">
        <f ca="1">IF(AD77-1&lt;1,9,AD77-1)</f>
        <v>2</v>
      </c>
      <c r="AH76" s="55" t="s">
        <v>106</v>
      </c>
      <c r="AI76" s="40"/>
      <c r="AJ76" s="40"/>
      <c r="AK76" s="40"/>
      <c r="AL76" s="40"/>
      <c r="AM76" s="44"/>
    </row>
    <row r="77" spans="1:39">
      <c r="A77" s="39"/>
      <c r="B77" s="40"/>
      <c r="C77" s="40"/>
      <c r="D77" s="40"/>
      <c r="E77" s="56" t="s">
        <v>107</v>
      </c>
      <c r="F77" s="57">
        <f>IF(F76-1&lt;1,9,F76-1)</f>
        <v>9</v>
      </c>
      <c r="G77" s="341">
        <f>I19</f>
        <v>2</v>
      </c>
      <c r="H77" s="341"/>
      <c r="I77" s="58">
        <f>IF(F78-1&lt;1,9,F78-1)</f>
        <v>4</v>
      </c>
      <c r="J77" s="59" t="s">
        <v>108</v>
      </c>
      <c r="K77" s="40"/>
      <c r="L77" s="40"/>
      <c r="M77" s="40"/>
      <c r="N77" s="40"/>
      <c r="O77" s="40"/>
      <c r="P77" s="40"/>
      <c r="Q77" s="56" t="s">
        <v>107</v>
      </c>
      <c r="R77" s="57">
        <f ca="1">IF(R76-1&lt;1,9,R76-1)</f>
        <v>9</v>
      </c>
      <c r="S77" s="341">
        <f ca="1">+U19</f>
        <v>2</v>
      </c>
      <c r="T77" s="341"/>
      <c r="U77" s="58">
        <f ca="1">IF(R78-1&lt;1,9,R78-1)</f>
        <v>4</v>
      </c>
      <c r="V77" s="59" t="s">
        <v>108</v>
      </c>
      <c r="W77" s="40"/>
      <c r="X77" s="40"/>
      <c r="Y77" s="40"/>
      <c r="Z77" s="40"/>
      <c r="AA77" s="40"/>
      <c r="AB77" s="40"/>
      <c r="AC77" s="56" t="s">
        <v>107</v>
      </c>
      <c r="AD77" s="57">
        <f ca="1">IF(AD76-1&lt;1,9,AD76-1)</f>
        <v>3</v>
      </c>
      <c r="AE77" s="341">
        <f ca="1">+AG19</f>
        <v>5</v>
      </c>
      <c r="AF77" s="341"/>
      <c r="AG77" s="58">
        <f ca="1">IF(AD78-1&lt;1,9,AD78-1)</f>
        <v>7</v>
      </c>
      <c r="AH77" s="59" t="s">
        <v>108</v>
      </c>
      <c r="AI77" s="40"/>
      <c r="AJ77" s="40"/>
      <c r="AK77" s="40"/>
      <c r="AL77" s="40"/>
      <c r="AM77" s="44"/>
    </row>
    <row r="78" spans="1:39" ht="13.5" thickBot="1">
      <c r="A78" s="39"/>
      <c r="B78" s="40"/>
      <c r="C78" s="40"/>
      <c r="D78" s="40"/>
      <c r="E78" s="51" t="s">
        <v>109</v>
      </c>
      <c r="F78" s="60">
        <f>IF(G76-1&lt;1,9,G76-1)</f>
        <v>5</v>
      </c>
      <c r="G78" s="278">
        <f>IF(I76-1&lt;1,9,I76-1)</f>
        <v>7</v>
      </c>
      <c r="H78" s="278"/>
      <c r="I78" s="62">
        <f>IF(I77-1&lt;1,9,I77-1)</f>
        <v>3</v>
      </c>
      <c r="J78" s="55" t="s">
        <v>110</v>
      </c>
      <c r="K78" s="40"/>
      <c r="L78" s="40"/>
      <c r="M78" s="40"/>
      <c r="N78" s="40"/>
      <c r="O78" s="40"/>
      <c r="P78" s="40"/>
      <c r="Q78" s="51" t="s">
        <v>109</v>
      </c>
      <c r="R78" s="60">
        <f ca="1">IF(S76-1&lt;1,9,S76-1)</f>
        <v>5</v>
      </c>
      <c r="S78" s="278">
        <f ca="1">IF(U76-1&lt;1,9,U76-1)</f>
        <v>7</v>
      </c>
      <c r="T78" s="278"/>
      <c r="U78" s="62">
        <f ca="1">IF(U77-1&lt;1,9,U77-1)</f>
        <v>3</v>
      </c>
      <c r="V78" s="55" t="s">
        <v>110</v>
      </c>
      <c r="W78" s="40"/>
      <c r="X78" s="40"/>
      <c r="Y78" s="40"/>
      <c r="Z78" s="40"/>
      <c r="AA78" s="40"/>
      <c r="AB78" s="40"/>
      <c r="AC78" s="51" t="s">
        <v>109</v>
      </c>
      <c r="AD78" s="60">
        <f ca="1">IF(AE76-1&lt;1,9,AE76-1)</f>
        <v>8</v>
      </c>
      <c r="AE78" s="278">
        <f ca="1">IF(AG76-1&lt;1,9,AG76-1)</f>
        <v>1</v>
      </c>
      <c r="AF78" s="278"/>
      <c r="AG78" s="62">
        <f ca="1">IF(AG77-1&lt;1,9,AG77-1)</f>
        <v>6</v>
      </c>
      <c r="AH78" s="55" t="s">
        <v>110</v>
      </c>
      <c r="AI78" s="40"/>
      <c r="AJ78" s="40"/>
      <c r="AK78" s="40"/>
      <c r="AL78" s="40"/>
      <c r="AM78" s="44"/>
    </row>
    <row r="79" spans="1:39" ht="13.5" thickBot="1">
      <c r="A79" s="39"/>
      <c r="B79" s="40"/>
      <c r="C79" s="40"/>
      <c r="D79" s="40"/>
      <c r="E79" s="63" t="s">
        <v>111</v>
      </c>
      <c r="F79" s="64" t="s">
        <v>112</v>
      </c>
      <c r="G79" s="292" t="s">
        <v>113</v>
      </c>
      <c r="H79" s="292"/>
      <c r="I79" s="64" t="s">
        <v>114</v>
      </c>
      <c r="J79" s="66" t="s">
        <v>115</v>
      </c>
      <c r="K79" s="40"/>
      <c r="L79" s="40"/>
      <c r="M79" s="40"/>
      <c r="N79" s="40"/>
      <c r="O79" s="40"/>
      <c r="P79" s="40"/>
      <c r="Q79" s="63" t="s">
        <v>111</v>
      </c>
      <c r="R79" s="64" t="s">
        <v>112</v>
      </c>
      <c r="S79" s="292" t="s">
        <v>113</v>
      </c>
      <c r="T79" s="292"/>
      <c r="U79" s="64" t="s">
        <v>114</v>
      </c>
      <c r="V79" s="66" t="s">
        <v>115</v>
      </c>
      <c r="W79" s="40"/>
      <c r="X79" s="40"/>
      <c r="Y79" s="40"/>
      <c r="Z79" s="40"/>
      <c r="AA79" s="40"/>
      <c r="AB79" s="40"/>
      <c r="AC79" s="63" t="s">
        <v>111</v>
      </c>
      <c r="AD79" s="64" t="s">
        <v>112</v>
      </c>
      <c r="AE79" s="292" t="s">
        <v>113</v>
      </c>
      <c r="AF79" s="292"/>
      <c r="AG79" s="64" t="s">
        <v>114</v>
      </c>
      <c r="AH79" s="66" t="s">
        <v>115</v>
      </c>
      <c r="AI79" s="40"/>
      <c r="AJ79" s="40"/>
      <c r="AK79" s="40"/>
      <c r="AL79" s="40"/>
      <c r="AM79" s="44"/>
    </row>
    <row r="80" spans="1:39" ht="13.5" thickBot="1">
      <c r="A80" s="39"/>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4"/>
    </row>
    <row r="81" spans="1:39">
      <c r="A81" s="39"/>
      <c r="B81" s="40"/>
      <c r="C81" s="40"/>
      <c r="D81" s="7"/>
      <c r="E81" s="8"/>
      <c r="F81" s="8"/>
      <c r="G81" s="8"/>
      <c r="H81" s="8"/>
      <c r="I81" s="8"/>
      <c r="J81" s="8"/>
      <c r="K81" s="9"/>
      <c r="L81" s="40"/>
      <c r="M81" s="40"/>
      <c r="N81" s="40"/>
      <c r="O81" s="40"/>
      <c r="P81" s="7"/>
      <c r="Q81" s="8"/>
      <c r="R81" s="8"/>
      <c r="S81" s="8"/>
      <c r="T81" s="8"/>
      <c r="U81" s="8"/>
      <c r="V81" s="8"/>
      <c r="W81" s="9"/>
      <c r="X81" s="40"/>
      <c r="Y81" s="40"/>
      <c r="Z81" s="40"/>
      <c r="AA81" s="40"/>
      <c r="AB81" s="7"/>
      <c r="AC81" s="8"/>
      <c r="AD81" s="8"/>
      <c r="AE81" s="8"/>
      <c r="AF81" s="8"/>
      <c r="AG81" s="8"/>
      <c r="AH81" s="8"/>
      <c r="AI81" s="9"/>
      <c r="AJ81" s="40"/>
      <c r="AK81" s="40"/>
      <c r="AL81" s="40"/>
      <c r="AM81" s="44"/>
    </row>
    <row r="82" spans="1:39">
      <c r="A82" s="39"/>
      <c r="B82" s="40"/>
      <c r="C82" s="40"/>
      <c r="D82" s="10"/>
      <c r="E82" s="11"/>
      <c r="F82" s="11"/>
      <c r="G82" s="12"/>
      <c r="H82" s="12"/>
      <c r="I82" s="11"/>
      <c r="J82" s="11"/>
      <c r="K82" s="13"/>
      <c r="L82" s="40"/>
      <c r="M82" s="40"/>
      <c r="N82" s="40"/>
      <c r="O82" s="40"/>
      <c r="P82" s="10"/>
      <c r="Q82" s="11"/>
      <c r="R82" s="11"/>
      <c r="S82" s="12"/>
      <c r="T82" s="12"/>
      <c r="U82" s="11"/>
      <c r="V82" s="11"/>
      <c r="W82" s="13"/>
      <c r="X82" s="40"/>
      <c r="Y82" s="40"/>
      <c r="Z82" s="40"/>
      <c r="AA82" s="40"/>
      <c r="AB82" s="10"/>
      <c r="AC82" s="11"/>
      <c r="AD82" s="11"/>
      <c r="AE82" s="12"/>
      <c r="AF82" s="12"/>
      <c r="AG82" s="11"/>
      <c r="AH82" s="11"/>
      <c r="AI82" s="13"/>
      <c r="AJ82" s="40"/>
      <c r="AK82" s="40"/>
      <c r="AL82" s="40"/>
      <c r="AM82" s="44"/>
    </row>
    <row r="83" spans="1:39">
      <c r="A83" s="39"/>
      <c r="B83" s="40"/>
      <c r="C83" s="40"/>
      <c r="D83" s="10"/>
      <c r="E83" s="14"/>
      <c r="F83" s="14"/>
      <c r="G83" s="14"/>
      <c r="H83" s="14"/>
      <c r="I83" s="14"/>
      <c r="J83" s="14"/>
      <c r="K83" s="13"/>
      <c r="L83" s="40"/>
      <c r="M83" s="40"/>
      <c r="N83" s="40"/>
      <c r="O83" s="40"/>
      <c r="P83" s="10"/>
      <c r="Q83" s="14"/>
      <c r="R83" s="14"/>
      <c r="S83" s="14"/>
      <c r="T83" s="14"/>
      <c r="U83" s="14"/>
      <c r="V83" s="14"/>
      <c r="W83" s="13"/>
      <c r="X83" s="40"/>
      <c r="Y83" s="40"/>
      <c r="Z83" s="40"/>
      <c r="AA83" s="40"/>
      <c r="AB83" s="10"/>
      <c r="AC83" s="14"/>
      <c r="AD83" s="14"/>
      <c r="AE83" s="14"/>
      <c r="AF83" s="14"/>
      <c r="AG83" s="14"/>
      <c r="AH83" s="14"/>
      <c r="AI83" s="13"/>
      <c r="AJ83" s="40"/>
      <c r="AK83" s="40"/>
      <c r="AL83" s="40"/>
      <c r="AM83" s="44"/>
    </row>
    <row r="84" spans="1:39">
      <c r="A84" s="39"/>
      <c r="B84" s="40"/>
      <c r="C84" s="40"/>
      <c r="D84" s="10"/>
      <c r="E84" s="11"/>
      <c r="F84" s="11"/>
      <c r="G84" s="12"/>
      <c r="H84" s="12"/>
      <c r="I84" s="11"/>
      <c r="J84" s="11"/>
      <c r="K84" s="13"/>
      <c r="L84" s="40"/>
      <c r="M84" s="40"/>
      <c r="N84" s="40"/>
      <c r="O84" s="40"/>
      <c r="P84" s="10"/>
      <c r="Q84" s="11"/>
      <c r="R84" s="11"/>
      <c r="S84" s="12"/>
      <c r="T84" s="12"/>
      <c r="U84" s="11"/>
      <c r="V84" s="11"/>
      <c r="W84" s="13"/>
      <c r="X84" s="40"/>
      <c r="Y84" s="40"/>
      <c r="Z84" s="40"/>
      <c r="AA84" s="40"/>
      <c r="AB84" s="10"/>
      <c r="AC84" s="11"/>
      <c r="AD84" s="11"/>
      <c r="AE84" s="12"/>
      <c r="AF84" s="12"/>
      <c r="AG84" s="11"/>
      <c r="AH84" s="11"/>
      <c r="AI84" s="13"/>
      <c r="AJ84" s="40"/>
      <c r="AK84" s="40"/>
      <c r="AL84" s="40"/>
      <c r="AM84" s="44"/>
    </row>
    <row r="85" spans="1:39">
      <c r="A85" s="39"/>
      <c r="B85" s="40"/>
      <c r="C85" s="40"/>
      <c r="D85" s="10"/>
      <c r="E85" s="14"/>
      <c r="F85" s="14"/>
      <c r="G85" s="14"/>
      <c r="H85" s="14"/>
      <c r="I85" s="14"/>
      <c r="J85" s="14"/>
      <c r="K85" s="13"/>
      <c r="L85" s="40"/>
      <c r="M85" s="40"/>
      <c r="N85" s="40"/>
      <c r="O85" s="40"/>
      <c r="P85" s="10"/>
      <c r="Q85" s="14"/>
      <c r="R85" s="14"/>
      <c r="S85" s="14"/>
      <c r="T85" s="14"/>
      <c r="U85" s="14"/>
      <c r="V85" s="14"/>
      <c r="W85" s="13"/>
      <c r="X85" s="40"/>
      <c r="Y85" s="40"/>
      <c r="Z85" s="40"/>
      <c r="AA85" s="40"/>
      <c r="AB85" s="10"/>
      <c r="AC85" s="14"/>
      <c r="AD85" s="14"/>
      <c r="AE85" s="14"/>
      <c r="AF85" s="14"/>
      <c r="AG85" s="14"/>
      <c r="AH85" s="14"/>
      <c r="AI85" s="13"/>
      <c r="AJ85" s="40"/>
      <c r="AK85" s="40"/>
      <c r="AL85" s="40"/>
      <c r="AM85" s="44"/>
    </row>
    <row r="86" spans="1:39">
      <c r="A86" s="39"/>
      <c r="B86" s="40"/>
      <c r="C86" s="40"/>
      <c r="D86" s="10"/>
      <c r="E86" s="11"/>
      <c r="F86" s="11"/>
      <c r="G86" s="12"/>
      <c r="H86" s="12"/>
      <c r="I86" s="11"/>
      <c r="J86" s="11"/>
      <c r="K86" s="13"/>
      <c r="L86" s="40"/>
      <c r="M86" s="40"/>
      <c r="N86" s="40"/>
      <c r="O86" s="40"/>
      <c r="P86" s="10"/>
      <c r="Q86" s="11"/>
      <c r="R86" s="11"/>
      <c r="S86" s="12"/>
      <c r="T86" s="12"/>
      <c r="U86" s="11"/>
      <c r="V86" s="11"/>
      <c r="W86" s="13"/>
      <c r="X86" s="40"/>
      <c r="Y86" s="40"/>
      <c r="Z86" s="40"/>
      <c r="AA86" s="40"/>
      <c r="AB86" s="10"/>
      <c r="AC86" s="11"/>
      <c r="AD86" s="11"/>
      <c r="AE86" s="12"/>
      <c r="AF86" s="12"/>
      <c r="AG86" s="11"/>
      <c r="AH86" s="11"/>
      <c r="AI86" s="13"/>
      <c r="AJ86" s="40"/>
      <c r="AK86" s="40"/>
      <c r="AL86" s="40"/>
      <c r="AM86" s="44"/>
    </row>
    <row r="87" spans="1:39" ht="13.5" thickBot="1">
      <c r="A87" s="39"/>
      <c r="B87" s="40"/>
      <c r="C87" s="40"/>
      <c r="D87" s="15"/>
      <c r="E87" s="16"/>
      <c r="F87" s="16"/>
      <c r="G87" s="16"/>
      <c r="H87" s="16"/>
      <c r="I87" s="16"/>
      <c r="J87" s="16"/>
      <c r="K87" s="17"/>
      <c r="L87" s="40"/>
      <c r="M87" s="40"/>
      <c r="N87" s="40"/>
      <c r="O87" s="40"/>
      <c r="P87" s="15"/>
      <c r="Q87" s="16"/>
      <c r="R87" s="16"/>
      <c r="S87" s="16"/>
      <c r="T87" s="16"/>
      <c r="U87" s="16"/>
      <c r="V87" s="16"/>
      <c r="W87" s="17"/>
      <c r="X87" s="40"/>
      <c r="Y87" s="40"/>
      <c r="Z87" s="40"/>
      <c r="AA87" s="40"/>
      <c r="AB87" s="15"/>
      <c r="AC87" s="16"/>
      <c r="AD87" s="16"/>
      <c r="AE87" s="16"/>
      <c r="AF87" s="16"/>
      <c r="AG87" s="16"/>
      <c r="AH87" s="16"/>
      <c r="AI87" s="17"/>
      <c r="AJ87" s="40"/>
      <c r="AK87" s="40"/>
      <c r="AL87" s="40"/>
      <c r="AM87" s="44"/>
    </row>
    <row r="88" spans="1:39" ht="13.5" thickBot="1">
      <c r="A88" s="3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4"/>
    </row>
    <row r="89" spans="1:39">
      <c r="A89" s="39"/>
      <c r="B89" s="40"/>
      <c r="C89" s="40"/>
      <c r="D89" s="305" t="s">
        <v>126</v>
      </c>
      <c r="E89" s="342"/>
      <c r="F89" s="342"/>
      <c r="G89" s="342"/>
      <c r="H89" s="342"/>
      <c r="I89" s="342"/>
      <c r="J89" s="342"/>
      <c r="K89" s="306"/>
      <c r="L89" s="40"/>
      <c r="M89" s="40"/>
      <c r="N89" s="40"/>
      <c r="O89" s="40"/>
      <c r="P89" s="305" t="s">
        <v>127</v>
      </c>
      <c r="Q89" s="342"/>
      <c r="R89" s="342"/>
      <c r="S89" s="342"/>
      <c r="T89" s="342"/>
      <c r="U89" s="342"/>
      <c r="V89" s="342"/>
      <c r="W89" s="306"/>
      <c r="X89" s="40"/>
      <c r="Y89" s="40"/>
      <c r="Z89" s="40"/>
      <c r="AA89" s="40"/>
      <c r="AB89" s="305" t="s">
        <v>128</v>
      </c>
      <c r="AC89" s="342"/>
      <c r="AD89" s="342"/>
      <c r="AE89" s="342"/>
      <c r="AF89" s="342"/>
      <c r="AG89" s="342"/>
      <c r="AH89" s="342"/>
      <c r="AI89" s="306"/>
      <c r="AJ89" s="40"/>
      <c r="AK89" s="40"/>
      <c r="AL89" s="40"/>
      <c r="AM89" s="44"/>
    </row>
    <row r="90" spans="1:39">
      <c r="A90" s="39"/>
      <c r="B90" s="40"/>
      <c r="C90" s="40"/>
      <c r="D90" s="343"/>
      <c r="E90" s="344"/>
      <c r="F90" s="344"/>
      <c r="G90" s="344"/>
      <c r="H90" s="344"/>
      <c r="I90" s="344"/>
      <c r="J90" s="344"/>
      <c r="K90" s="345"/>
      <c r="L90" s="40"/>
      <c r="M90" s="40"/>
      <c r="N90" s="40"/>
      <c r="O90" s="40"/>
      <c r="P90" s="343"/>
      <c r="Q90" s="344"/>
      <c r="R90" s="344"/>
      <c r="S90" s="344"/>
      <c r="T90" s="344"/>
      <c r="U90" s="344"/>
      <c r="V90" s="344"/>
      <c r="W90" s="345"/>
      <c r="X90" s="40"/>
      <c r="Y90" s="40"/>
      <c r="Z90" s="40"/>
      <c r="AA90" s="40"/>
      <c r="AB90" s="343"/>
      <c r="AC90" s="344"/>
      <c r="AD90" s="344"/>
      <c r="AE90" s="344"/>
      <c r="AF90" s="344"/>
      <c r="AG90" s="344"/>
      <c r="AH90" s="344"/>
      <c r="AI90" s="345"/>
      <c r="AJ90" s="40"/>
      <c r="AK90" s="40"/>
      <c r="AL90" s="40"/>
      <c r="AM90" s="44"/>
    </row>
    <row r="91" spans="1:39">
      <c r="A91" s="39"/>
      <c r="B91" s="40"/>
      <c r="C91" s="40"/>
      <c r="D91" s="343"/>
      <c r="E91" s="344"/>
      <c r="F91" s="344"/>
      <c r="G91" s="344"/>
      <c r="H91" s="344"/>
      <c r="I91" s="344"/>
      <c r="J91" s="344"/>
      <c r="K91" s="345"/>
      <c r="L91" s="40"/>
      <c r="M91" s="40"/>
      <c r="N91" s="40"/>
      <c r="O91" s="40"/>
      <c r="P91" s="343"/>
      <c r="Q91" s="344"/>
      <c r="R91" s="344"/>
      <c r="S91" s="344"/>
      <c r="T91" s="344"/>
      <c r="U91" s="344"/>
      <c r="V91" s="344"/>
      <c r="W91" s="345"/>
      <c r="X91" s="40"/>
      <c r="Y91" s="40"/>
      <c r="Z91" s="40"/>
      <c r="AA91" s="40"/>
      <c r="AB91" s="343"/>
      <c r="AC91" s="344"/>
      <c r="AD91" s="344"/>
      <c r="AE91" s="344"/>
      <c r="AF91" s="344"/>
      <c r="AG91" s="344"/>
      <c r="AH91" s="344"/>
      <c r="AI91" s="345"/>
      <c r="AJ91" s="40"/>
      <c r="AK91" s="40"/>
      <c r="AL91" s="40"/>
      <c r="AM91" s="44"/>
    </row>
    <row r="92" spans="1:39">
      <c r="A92" s="39"/>
      <c r="B92" s="40"/>
      <c r="C92" s="40"/>
      <c r="D92" s="343"/>
      <c r="E92" s="344"/>
      <c r="F92" s="344"/>
      <c r="G92" s="344"/>
      <c r="H92" s="344"/>
      <c r="I92" s="344"/>
      <c r="J92" s="344"/>
      <c r="K92" s="345"/>
      <c r="L92" s="40"/>
      <c r="M92" s="40"/>
      <c r="N92" s="40"/>
      <c r="O92" s="40"/>
      <c r="P92" s="343"/>
      <c r="Q92" s="344"/>
      <c r="R92" s="344"/>
      <c r="S92" s="344"/>
      <c r="T92" s="344"/>
      <c r="U92" s="344"/>
      <c r="V92" s="344"/>
      <c r="W92" s="345"/>
      <c r="X92" s="40"/>
      <c r="Y92" s="40"/>
      <c r="Z92" s="40"/>
      <c r="AA92" s="40"/>
      <c r="AB92" s="343"/>
      <c r="AC92" s="344"/>
      <c r="AD92" s="344"/>
      <c r="AE92" s="344"/>
      <c r="AF92" s="344"/>
      <c r="AG92" s="344"/>
      <c r="AH92" s="344"/>
      <c r="AI92" s="345"/>
      <c r="AJ92" s="40"/>
      <c r="AK92" s="40"/>
      <c r="AL92" s="40"/>
      <c r="AM92" s="44"/>
    </row>
    <row r="93" spans="1:39">
      <c r="A93" s="39"/>
      <c r="B93" s="40"/>
      <c r="C93" s="40"/>
      <c r="D93" s="343"/>
      <c r="E93" s="344"/>
      <c r="F93" s="344"/>
      <c r="G93" s="344"/>
      <c r="H93" s="344"/>
      <c r="I93" s="344"/>
      <c r="J93" s="344"/>
      <c r="K93" s="345"/>
      <c r="L93" s="40"/>
      <c r="M93" s="40"/>
      <c r="N93" s="40"/>
      <c r="O93" s="40"/>
      <c r="P93" s="343"/>
      <c r="Q93" s="344"/>
      <c r="R93" s="344"/>
      <c r="S93" s="344"/>
      <c r="T93" s="344"/>
      <c r="U93" s="344"/>
      <c r="V93" s="344"/>
      <c r="W93" s="345"/>
      <c r="X93" s="40"/>
      <c r="Y93" s="40"/>
      <c r="Z93" s="40"/>
      <c r="AA93" s="40"/>
      <c r="AB93" s="343"/>
      <c r="AC93" s="344"/>
      <c r="AD93" s="344"/>
      <c r="AE93" s="344"/>
      <c r="AF93" s="344"/>
      <c r="AG93" s="344"/>
      <c r="AH93" s="344"/>
      <c r="AI93" s="345"/>
      <c r="AJ93" s="40"/>
      <c r="AK93" s="40"/>
      <c r="AL93" s="40"/>
      <c r="AM93" s="44"/>
    </row>
    <row r="94" spans="1:39" ht="13.5" thickBot="1">
      <c r="A94" s="39"/>
      <c r="B94" s="40"/>
      <c r="C94" s="40"/>
      <c r="D94" s="307"/>
      <c r="E94" s="346"/>
      <c r="F94" s="346"/>
      <c r="G94" s="346"/>
      <c r="H94" s="346"/>
      <c r="I94" s="346"/>
      <c r="J94" s="346"/>
      <c r="K94" s="308"/>
      <c r="L94" s="40"/>
      <c r="M94" s="40"/>
      <c r="N94" s="40"/>
      <c r="O94" s="40"/>
      <c r="P94" s="307"/>
      <c r="Q94" s="346"/>
      <c r="R94" s="346"/>
      <c r="S94" s="346"/>
      <c r="T94" s="346"/>
      <c r="U94" s="346"/>
      <c r="V94" s="346"/>
      <c r="W94" s="308"/>
      <c r="X94" s="40"/>
      <c r="Y94" s="40"/>
      <c r="Z94" s="40"/>
      <c r="AA94" s="40"/>
      <c r="AB94" s="307"/>
      <c r="AC94" s="346"/>
      <c r="AD94" s="346"/>
      <c r="AE94" s="346"/>
      <c r="AF94" s="346"/>
      <c r="AG94" s="346"/>
      <c r="AH94" s="346"/>
      <c r="AI94" s="308"/>
      <c r="AJ94" s="40"/>
      <c r="AK94" s="40"/>
      <c r="AL94" s="40"/>
      <c r="AM94" s="44"/>
    </row>
    <row r="95" spans="1:39" ht="13.5" thickBot="1">
      <c r="A95" s="39"/>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4"/>
    </row>
    <row r="96" spans="1:39" s="73" customFormat="1" ht="18.75" thickBot="1">
      <c r="A96" s="39"/>
      <c r="B96" s="40"/>
      <c r="C96" s="40"/>
      <c r="D96" s="40"/>
      <c r="E96" s="338" t="str">
        <f>IF(G77=1,'1a estrella'!A1,IF(G77=2,'1a estrella'!G1,IF(G77=3,'1a estrella'!M1,IF(G77=4,'1a estrella'!S1,IF(G77=5,'1a estrella'!Y1,IF(G77=6,'1a estrella'!AE1,IF(G77=7,'1a estrella'!AK1,IF(G77=8,'1a estrella'!AQ1,'1a estrella'!AW1))))))))</f>
        <v>2Tierra</v>
      </c>
      <c r="F96" s="339"/>
      <c r="G96" s="339"/>
      <c r="H96" s="339"/>
      <c r="I96" s="339"/>
      <c r="J96" s="340"/>
      <c r="K96" s="40"/>
      <c r="L96" s="40"/>
      <c r="M96" s="40"/>
      <c r="N96" s="40"/>
      <c r="O96" s="40"/>
      <c r="P96" s="40"/>
      <c r="Q96" s="338">
        <f ca="1">IF(S77=1,'2a Estrella '!A1,IF(S77=2,'2a Estrella '!G1,IF(S77=3,'2a Estrella '!M1,IF(S77=4,'2a Estrella '!S1,IF(S77=5,'2a Estrella '!Y1,IF(S77=6,'2a Estrella '!AE1,IF(S77=7,'2a Estrella '!AK1,IF(S77=8,'2a Estrella '!AQ1,'2a Estrella '!AW1))))))))</f>
        <v>2</v>
      </c>
      <c r="R96" s="339"/>
      <c r="S96" s="339"/>
      <c r="T96" s="339"/>
      <c r="U96" s="339"/>
      <c r="V96" s="340"/>
      <c r="W96" s="40"/>
      <c r="X96" s="40"/>
      <c r="Y96" s="40"/>
      <c r="Z96" s="40"/>
      <c r="AA96" s="40"/>
      <c r="AB96" s="40"/>
      <c r="AC96" s="338" t="str">
        <f ca="1">IF(AE77=1,'3a Estrella'!A1,IF(AE77=2,'3a Estrella'!G1,IF(AE77=3,'3a Estrella'!M1,IF(AE77=4,'3a Estrella'!S1,IF(AE77=5,'3a Estrella'!Y1,IF(AE77=6,'3a Estrella'!AE1,IF(AE77=7,'3a Estrella'!AK1,IF(AE77=8,'3a Estrella'!AQ1,'3a Estrella'!AW1))))))))</f>
        <v>5Tierra Media</v>
      </c>
      <c r="AD96" s="339"/>
      <c r="AE96" s="339"/>
      <c r="AF96" s="339"/>
      <c r="AG96" s="339"/>
      <c r="AH96" s="340"/>
      <c r="AI96" s="40"/>
      <c r="AJ96" s="40"/>
      <c r="AK96" s="40"/>
      <c r="AL96" s="40"/>
      <c r="AM96" s="44"/>
    </row>
    <row r="97" spans="1:39" ht="13.5" thickBot="1">
      <c r="A97" s="39"/>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4"/>
    </row>
    <row r="98" spans="1:39" ht="16.5" thickBot="1">
      <c r="A98" s="39"/>
      <c r="B98" s="302" t="s">
        <v>208</v>
      </c>
      <c r="C98" s="303"/>
      <c r="D98" s="303"/>
      <c r="E98" s="303"/>
      <c r="F98" s="303"/>
      <c r="G98" s="303"/>
      <c r="H98" s="303"/>
      <c r="I98" s="303"/>
      <c r="J98" s="303"/>
      <c r="K98" s="303"/>
      <c r="L98" s="303"/>
      <c r="M98" s="303"/>
      <c r="N98" s="303"/>
      <c r="O98" s="303"/>
      <c r="P98" s="303"/>
      <c r="Q98" s="303"/>
      <c r="R98" s="303"/>
      <c r="S98" s="304"/>
      <c r="T98" s="269" t="str">
        <f>UPPER(VLOOKUP(I19,'Compativilidad de Pareja'!C54:E62,2))</f>
        <v>SUROESTE</v>
      </c>
      <c r="U98" s="270"/>
      <c r="V98" s="270"/>
      <c r="W98" s="270"/>
      <c r="X98" s="270"/>
      <c r="Y98" s="270"/>
      <c r="Z98" s="270"/>
      <c r="AA98" s="270"/>
      <c r="AB98" s="270"/>
      <c r="AC98" s="270"/>
      <c r="AD98" s="270"/>
      <c r="AE98" s="270"/>
      <c r="AF98" s="270"/>
      <c r="AG98" s="270"/>
      <c r="AH98" s="270"/>
      <c r="AI98" s="270"/>
      <c r="AJ98" s="270"/>
      <c r="AK98" s="270"/>
      <c r="AL98" s="271"/>
      <c r="AM98" s="44"/>
    </row>
    <row r="99" spans="1:39" ht="46.5" customHeight="1" thickBot="1">
      <c r="A99" s="39"/>
      <c r="B99" s="299" t="str">
        <f>VLOOKUP(I19,'Compativilidad de Pareja'!C54:E62,3)</f>
        <v>Viajar  y moverse hacia esta dirección es adecuado cuando buscamos volver más practico nuestro punto de vista, atraer a nuestra vida el compañerismo, la labor de equipo, la maternidad, desarrollar amistades o proyectos. También es adecuada para promover la estabilidad en nuestra vida y mejorar la comunicación y nuestra relación sentimental, acercamiento a nuestra pareja, consolidar la relación matrimonial, afianzar la relación materno pareja. También es apropiada para cambiar nuestro estilo de vida y mejorar la calidad de ésta.</v>
      </c>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1"/>
      <c r="AM99" s="44"/>
    </row>
    <row r="100" spans="1:39" ht="13.5" thickBot="1">
      <c r="A100" s="41"/>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5"/>
    </row>
    <row r="101" spans="1:39">
      <c r="A101" s="37"/>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43"/>
    </row>
    <row r="102" spans="1:39" ht="13.5" thickBot="1">
      <c r="A102" s="39"/>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4"/>
    </row>
    <row r="103" spans="1:39" ht="15" customHeight="1" thickBot="1">
      <c r="A103" s="289" t="str">
        <f ca="1">CONCATENATE("PREDICCIONES DEL HORÓSCOPO CHINO PARA EL AÑO ",UPPER(LOOKUP(L8,Horóscopo!K4:L123,Horóscopo!A4:A123)))</f>
        <v>PREDICCIONES DEL HORÓSCOPO CHINO PARA EL AÑO JABALÍ</v>
      </c>
      <c r="B103" s="272">
        <f ca="1">YEAR(TODAY())</f>
        <v>2019</v>
      </c>
      <c r="C103" s="273"/>
      <c r="D103" s="40"/>
      <c r="E103" s="47" t="s">
        <v>100</v>
      </c>
      <c r="F103" s="48" t="s">
        <v>101</v>
      </c>
      <c r="G103" s="247" t="s">
        <v>102</v>
      </c>
      <c r="H103" s="247"/>
      <c r="I103" s="48" t="s">
        <v>103</v>
      </c>
      <c r="J103" s="50" t="s">
        <v>104</v>
      </c>
      <c r="K103" s="40"/>
      <c r="L103" s="40"/>
      <c r="M103" s="197"/>
      <c r="N103" s="40"/>
      <c r="O103" s="40"/>
      <c r="P103" s="265" t="s">
        <v>276</v>
      </c>
      <c r="Q103" s="443" t="str">
        <f ca="1">VLOOKUP(O106,'Predicción x Casa'!$A$1:$C$9,3)</f>
        <v>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v>
      </c>
      <c r="R103" s="444"/>
      <c r="S103" s="444"/>
      <c r="T103" s="444"/>
      <c r="U103" s="444"/>
      <c r="V103" s="444"/>
      <c r="W103" s="444"/>
      <c r="X103" s="444"/>
      <c r="Y103" s="444"/>
      <c r="Z103" s="444"/>
      <c r="AA103" s="444"/>
      <c r="AB103" s="444"/>
      <c r="AC103" s="444"/>
      <c r="AD103" s="444"/>
      <c r="AE103" s="444"/>
      <c r="AF103" s="444"/>
      <c r="AG103" s="444"/>
      <c r="AH103" s="444"/>
      <c r="AI103" s="444"/>
      <c r="AJ103" s="444"/>
      <c r="AK103" s="444"/>
      <c r="AL103" s="445"/>
      <c r="AM103" s="44"/>
    </row>
    <row r="104" spans="1:39" ht="15" customHeight="1" thickBot="1">
      <c r="A104" s="290"/>
      <c r="B104" s="274"/>
      <c r="C104" s="275"/>
      <c r="D104" s="40"/>
      <c r="E104" s="51" t="s">
        <v>105</v>
      </c>
      <c r="F104" s="52">
        <f ca="1">IF(G105-1&lt;1,9,G105-1)</f>
        <v>8</v>
      </c>
      <c r="G104" s="248">
        <f ca="1">IF(G106-1&lt;1,9,G106-1)</f>
        <v>4</v>
      </c>
      <c r="H104" s="248"/>
      <c r="I104" s="54">
        <f ca="1">IF(F105-1&lt;1,9,F105-1)</f>
        <v>6</v>
      </c>
      <c r="J104" s="55" t="s">
        <v>106</v>
      </c>
      <c r="K104" s="199" t="s">
        <v>289</v>
      </c>
      <c r="L104" s="40"/>
      <c r="M104" s="40"/>
      <c r="N104" s="40"/>
      <c r="O104" s="40"/>
      <c r="P104" s="266"/>
      <c r="Q104" s="446"/>
      <c r="R104" s="447"/>
      <c r="S104" s="447"/>
      <c r="T104" s="447"/>
      <c r="U104" s="447"/>
      <c r="V104" s="447"/>
      <c r="W104" s="447"/>
      <c r="X104" s="447"/>
      <c r="Y104" s="447"/>
      <c r="Z104" s="447"/>
      <c r="AA104" s="447"/>
      <c r="AB104" s="447"/>
      <c r="AC104" s="447"/>
      <c r="AD104" s="447"/>
      <c r="AE104" s="447"/>
      <c r="AF104" s="447"/>
      <c r="AG104" s="447"/>
      <c r="AH104" s="447"/>
      <c r="AI104" s="447"/>
      <c r="AJ104" s="447"/>
      <c r="AK104" s="447"/>
      <c r="AL104" s="448"/>
      <c r="AM104" s="44"/>
    </row>
    <row r="105" spans="1:39" ht="15" customHeight="1">
      <c r="A105" s="290"/>
      <c r="B105" s="274"/>
      <c r="C105" s="275"/>
      <c r="D105" s="40"/>
      <c r="E105" s="56" t="s">
        <v>107</v>
      </c>
      <c r="F105" s="57">
        <f ca="1">IF(F104-1&lt;1,9,F104-1)</f>
        <v>7</v>
      </c>
      <c r="G105" s="252">
        <f ca="1">+O105</f>
        <v>9</v>
      </c>
      <c r="H105" s="253"/>
      <c r="I105" s="58">
        <f ca="1">IF(F106-1&lt;1,9,F106-1)</f>
        <v>2</v>
      </c>
      <c r="J105" s="59" t="s">
        <v>108</v>
      </c>
      <c r="K105"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05" s="254" t="s">
        <v>288</v>
      </c>
      <c r="M105" s="255"/>
      <c r="N105" s="255"/>
      <c r="O105" s="201">
        <f ca="1">HLOOKUP(K105,'Cálculo de 2a. Estrella'!$Q$3:$Z$15,3)</f>
        <v>9</v>
      </c>
      <c r="P105" s="268"/>
      <c r="Q105" s="446"/>
      <c r="R105" s="447"/>
      <c r="S105" s="447"/>
      <c r="T105" s="447"/>
      <c r="U105" s="447"/>
      <c r="V105" s="447"/>
      <c r="W105" s="447"/>
      <c r="X105" s="447"/>
      <c r="Y105" s="447"/>
      <c r="Z105" s="447"/>
      <c r="AA105" s="447"/>
      <c r="AB105" s="447"/>
      <c r="AC105" s="447"/>
      <c r="AD105" s="447"/>
      <c r="AE105" s="447"/>
      <c r="AF105" s="447"/>
      <c r="AG105" s="447"/>
      <c r="AH105" s="447"/>
      <c r="AI105" s="447"/>
      <c r="AJ105" s="447"/>
      <c r="AK105" s="447"/>
      <c r="AL105" s="448"/>
      <c r="AM105" s="44"/>
    </row>
    <row r="106" spans="1:39" ht="15" customHeight="1" thickBot="1">
      <c r="A106" s="290"/>
      <c r="B106" s="274"/>
      <c r="C106" s="275"/>
      <c r="D106" s="40"/>
      <c r="E106" s="51" t="s">
        <v>109</v>
      </c>
      <c r="F106" s="60">
        <f ca="1">IF(G104-1&lt;1,9,G104-1)</f>
        <v>3</v>
      </c>
      <c r="G106" s="278">
        <f ca="1">IF(I104-1&lt;1,9,I104-1)</f>
        <v>5</v>
      </c>
      <c r="H106" s="278"/>
      <c r="I106" s="62">
        <f ca="1">IF(I105-1&lt;1,9,I105-1)</f>
        <v>1</v>
      </c>
      <c r="J106" s="55" t="s">
        <v>110</v>
      </c>
      <c r="K106" s="249" t="str">
        <f>CONCATENATE(TEXT($I$19,"##0")," Visita la casa ")</f>
        <v xml:space="preserve">2 Visita la casa </v>
      </c>
      <c r="L106" s="250"/>
      <c r="M106" s="250"/>
      <c r="N106" s="251"/>
      <c r="O106" s="202">
        <f ca="1">IF(F104-$I$19=0,4,IF(G104-$I$19=0,9,IF(I104-$I$19=0,2,IF(F105-$I$19=0,3,IF(G105-$I$19=0,5,IF(I105-$I$19=0,7,IF(F106-$I$19=0,8,IF(G106-$I$19=0,1,6))))))))</f>
        <v>7</v>
      </c>
      <c r="P106" s="268"/>
      <c r="Q106" s="446"/>
      <c r="R106" s="447"/>
      <c r="S106" s="447"/>
      <c r="T106" s="447"/>
      <c r="U106" s="447"/>
      <c r="V106" s="447"/>
      <c r="W106" s="447"/>
      <c r="X106" s="447"/>
      <c r="Y106" s="447"/>
      <c r="Z106" s="447"/>
      <c r="AA106" s="447"/>
      <c r="AB106" s="447"/>
      <c r="AC106" s="447"/>
      <c r="AD106" s="447"/>
      <c r="AE106" s="447"/>
      <c r="AF106" s="447"/>
      <c r="AG106" s="447"/>
      <c r="AH106" s="447"/>
      <c r="AI106" s="447"/>
      <c r="AJ106" s="447"/>
      <c r="AK106" s="447"/>
      <c r="AL106" s="448"/>
      <c r="AM106" s="44"/>
    </row>
    <row r="107" spans="1:39" ht="15" customHeight="1" thickBot="1">
      <c r="A107" s="290"/>
      <c r="B107" s="274"/>
      <c r="C107" s="275"/>
      <c r="D107" s="40"/>
      <c r="E107" s="63" t="s">
        <v>111</v>
      </c>
      <c r="F107" s="64" t="s">
        <v>112</v>
      </c>
      <c r="G107" s="292" t="s">
        <v>113</v>
      </c>
      <c r="H107" s="292"/>
      <c r="I107" s="64" t="s">
        <v>114</v>
      </c>
      <c r="J107" s="66" t="s">
        <v>115</v>
      </c>
      <c r="K107" s="40"/>
      <c r="L107" s="279"/>
      <c r="M107" s="279"/>
      <c r="N107" s="279"/>
      <c r="O107" s="40"/>
      <c r="P107" s="267"/>
      <c r="Q107" s="449"/>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1"/>
      <c r="AM107" s="44"/>
    </row>
    <row r="108" spans="1:39" ht="13.5" thickBot="1">
      <c r="A108" s="290"/>
      <c r="B108" s="274"/>
      <c r="C108" s="275"/>
      <c r="D108" s="40"/>
      <c r="E108" s="40"/>
      <c r="F108" s="40"/>
      <c r="G108" s="40"/>
      <c r="H108" s="40"/>
      <c r="I108" s="40"/>
      <c r="J108" s="40"/>
      <c r="K108" s="40"/>
      <c r="L108" s="279"/>
      <c r="M108" s="279"/>
      <c r="N108" s="279"/>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4"/>
    </row>
    <row r="109" spans="1:39" ht="15" customHeight="1" thickBot="1">
      <c r="A109" s="290"/>
      <c r="B109" s="274"/>
      <c r="C109" s="275"/>
      <c r="D109" s="40"/>
      <c r="E109" s="47" t="s">
        <v>100</v>
      </c>
      <c r="F109" s="48" t="s">
        <v>101</v>
      </c>
      <c r="G109" s="247" t="s">
        <v>102</v>
      </c>
      <c r="H109" s="247"/>
      <c r="I109" s="48" t="s">
        <v>103</v>
      </c>
      <c r="J109" s="50" t="s">
        <v>104</v>
      </c>
      <c r="K109" s="40"/>
      <c r="L109" s="40"/>
      <c r="M109" s="197"/>
      <c r="N109" s="40"/>
      <c r="O109" s="40"/>
      <c r="P109" s="265" t="s">
        <v>277</v>
      </c>
      <c r="Q109" s="443" t="str">
        <f ca="1">VLOOKUP(O112,'Predicción x Casa'!$A$1:$C$9,3)</f>
        <v>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v>
      </c>
      <c r="R109" s="444"/>
      <c r="S109" s="444"/>
      <c r="T109" s="444"/>
      <c r="U109" s="444"/>
      <c r="V109" s="444"/>
      <c r="W109" s="444"/>
      <c r="X109" s="444"/>
      <c r="Y109" s="444"/>
      <c r="Z109" s="444"/>
      <c r="AA109" s="444"/>
      <c r="AB109" s="444"/>
      <c r="AC109" s="444"/>
      <c r="AD109" s="444"/>
      <c r="AE109" s="444"/>
      <c r="AF109" s="444"/>
      <c r="AG109" s="444"/>
      <c r="AH109" s="444"/>
      <c r="AI109" s="444"/>
      <c r="AJ109" s="444"/>
      <c r="AK109" s="444"/>
      <c r="AL109" s="445"/>
      <c r="AM109" s="44"/>
    </row>
    <row r="110" spans="1:39" ht="15" customHeight="1" thickBot="1">
      <c r="A110" s="290"/>
      <c r="B110" s="274"/>
      <c r="C110" s="275"/>
      <c r="D110" s="40"/>
      <c r="E110" s="51" t="s">
        <v>105</v>
      </c>
      <c r="F110" s="52">
        <f ca="1">IF(G111-1&lt;1,9,G111-1)</f>
        <v>1</v>
      </c>
      <c r="G110" s="248">
        <f ca="1">IF(G112-1&lt;1,9,G112-1)</f>
        <v>6</v>
      </c>
      <c r="H110" s="248"/>
      <c r="I110" s="54">
        <f ca="1">IF(F111-1&lt;1,9,F111-1)</f>
        <v>8</v>
      </c>
      <c r="J110" s="55" t="s">
        <v>106</v>
      </c>
      <c r="K110" s="199" t="s">
        <v>289</v>
      </c>
      <c r="L110" s="40"/>
      <c r="M110" s="40"/>
      <c r="N110" s="40"/>
      <c r="O110" s="40"/>
      <c r="P110" s="266"/>
      <c r="Q110" s="446"/>
      <c r="R110" s="447"/>
      <c r="S110" s="447"/>
      <c r="T110" s="447"/>
      <c r="U110" s="447"/>
      <c r="V110" s="447"/>
      <c r="W110" s="447"/>
      <c r="X110" s="447"/>
      <c r="Y110" s="447"/>
      <c r="Z110" s="447"/>
      <c r="AA110" s="447"/>
      <c r="AB110" s="447"/>
      <c r="AC110" s="447"/>
      <c r="AD110" s="447"/>
      <c r="AE110" s="447"/>
      <c r="AF110" s="447"/>
      <c r="AG110" s="447"/>
      <c r="AH110" s="447"/>
      <c r="AI110" s="447"/>
      <c r="AJ110" s="447"/>
      <c r="AK110" s="447"/>
      <c r="AL110" s="448"/>
      <c r="AM110" s="44"/>
    </row>
    <row r="111" spans="1:39" ht="15" customHeight="1">
      <c r="A111" s="290"/>
      <c r="B111" s="274"/>
      <c r="C111" s="275"/>
      <c r="D111" s="40"/>
      <c r="E111" s="56" t="s">
        <v>107</v>
      </c>
      <c r="F111" s="57">
        <f ca="1">IF(F110-1&lt;1,9,F110-1)</f>
        <v>9</v>
      </c>
      <c r="G111" s="252">
        <f ca="1">+O111</f>
        <v>2</v>
      </c>
      <c r="H111" s="253"/>
      <c r="I111" s="58">
        <f ca="1">IF(F112-1&lt;1,9,F112-1)</f>
        <v>4</v>
      </c>
      <c r="J111" s="59" t="s">
        <v>108</v>
      </c>
      <c r="K111"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11" s="254" t="s">
        <v>288</v>
      </c>
      <c r="M111" s="255"/>
      <c r="N111" s="255"/>
      <c r="O111" s="201">
        <f ca="1">HLOOKUP(K111,'Cálculo de 2a. Estrella'!$Q$3:$Z$15,4)</f>
        <v>2</v>
      </c>
      <c r="P111" s="266"/>
      <c r="Q111" s="446"/>
      <c r="R111" s="447"/>
      <c r="S111" s="447"/>
      <c r="T111" s="447"/>
      <c r="U111" s="447"/>
      <c r="V111" s="447"/>
      <c r="W111" s="447"/>
      <c r="X111" s="447"/>
      <c r="Y111" s="447"/>
      <c r="Z111" s="447"/>
      <c r="AA111" s="447"/>
      <c r="AB111" s="447"/>
      <c r="AC111" s="447"/>
      <c r="AD111" s="447"/>
      <c r="AE111" s="447"/>
      <c r="AF111" s="447"/>
      <c r="AG111" s="447"/>
      <c r="AH111" s="447"/>
      <c r="AI111" s="447"/>
      <c r="AJ111" s="447"/>
      <c r="AK111" s="447"/>
      <c r="AL111" s="448"/>
      <c r="AM111" s="44"/>
    </row>
    <row r="112" spans="1:39" ht="15" customHeight="1" thickBot="1">
      <c r="A112" s="290"/>
      <c r="B112" s="274"/>
      <c r="C112" s="275"/>
      <c r="D112" s="40"/>
      <c r="E112" s="51" t="s">
        <v>109</v>
      </c>
      <c r="F112" s="60">
        <f ca="1">IF(G110-1&lt;1,9,G110-1)</f>
        <v>5</v>
      </c>
      <c r="G112" s="278">
        <f ca="1">IF(I110-1&lt;1,9,I110-1)</f>
        <v>7</v>
      </c>
      <c r="H112" s="278"/>
      <c r="I112" s="62">
        <f ca="1">IF(I111-1&lt;1,9,I111-1)</f>
        <v>3</v>
      </c>
      <c r="J112" s="55" t="s">
        <v>110</v>
      </c>
      <c r="K112" s="249" t="str">
        <f>CONCATENATE(TEXT($I$19,"##0")," Visita la casa ")</f>
        <v xml:space="preserve">2 Visita la casa </v>
      </c>
      <c r="L112" s="250"/>
      <c r="M112" s="250"/>
      <c r="N112" s="251"/>
      <c r="O112" s="202">
        <f ca="1">IF(F110-$I$19=0,4,IF(G110-$I$19=0,9,IF(I110-$I$19=0,2,IF(F111-$I$19=0,3,IF(G111-$I$19=0,5,IF(I111-$I$19=0,7,IF(F112-$I$19=0,8,IF(G112-$I$19=0,1,6))))))))</f>
        <v>5</v>
      </c>
      <c r="P112" s="266"/>
      <c r="Q112" s="446"/>
      <c r="R112" s="447"/>
      <c r="S112" s="447"/>
      <c r="T112" s="447"/>
      <c r="U112" s="447"/>
      <c r="V112" s="447"/>
      <c r="W112" s="447"/>
      <c r="X112" s="447"/>
      <c r="Y112" s="447"/>
      <c r="Z112" s="447"/>
      <c r="AA112" s="447"/>
      <c r="AB112" s="447"/>
      <c r="AC112" s="447"/>
      <c r="AD112" s="447"/>
      <c r="AE112" s="447"/>
      <c r="AF112" s="447"/>
      <c r="AG112" s="447"/>
      <c r="AH112" s="447"/>
      <c r="AI112" s="447"/>
      <c r="AJ112" s="447"/>
      <c r="AK112" s="447"/>
      <c r="AL112" s="448"/>
      <c r="AM112" s="44"/>
    </row>
    <row r="113" spans="1:39" ht="15" customHeight="1" thickBot="1">
      <c r="A113" s="290"/>
      <c r="B113" s="274"/>
      <c r="C113" s="275"/>
      <c r="D113" s="40"/>
      <c r="E113" s="63" t="s">
        <v>111</v>
      </c>
      <c r="F113" s="64" t="s">
        <v>112</v>
      </c>
      <c r="G113" s="292" t="s">
        <v>113</v>
      </c>
      <c r="H113" s="292"/>
      <c r="I113" s="64" t="s">
        <v>114</v>
      </c>
      <c r="J113" s="66" t="s">
        <v>115</v>
      </c>
      <c r="K113" s="40"/>
      <c r="L113" s="279"/>
      <c r="M113" s="279"/>
      <c r="N113" s="279"/>
      <c r="O113" s="40"/>
      <c r="P113" s="267"/>
      <c r="Q113" s="449"/>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1"/>
      <c r="AM113" s="44"/>
    </row>
    <row r="114" spans="1:39" ht="13.5" thickBot="1">
      <c r="A114" s="290"/>
      <c r="B114" s="274"/>
      <c r="C114" s="275"/>
      <c r="D114" s="40"/>
      <c r="E114" s="40"/>
      <c r="F114" s="40"/>
      <c r="G114" s="40"/>
      <c r="H114" s="40"/>
      <c r="I114" s="40"/>
      <c r="J114" s="40"/>
      <c r="K114" s="40"/>
      <c r="L114" s="279"/>
      <c r="M114" s="279"/>
      <c r="N114" s="279"/>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4"/>
    </row>
    <row r="115" spans="1:39" ht="15" customHeight="1" thickBot="1">
      <c r="A115" s="290"/>
      <c r="B115" s="274"/>
      <c r="C115" s="275"/>
      <c r="D115" s="40"/>
      <c r="E115" s="47" t="s">
        <v>100</v>
      </c>
      <c r="F115" s="48" t="s">
        <v>101</v>
      </c>
      <c r="G115" s="247" t="s">
        <v>102</v>
      </c>
      <c r="H115" s="247"/>
      <c r="I115" s="48" t="s">
        <v>103</v>
      </c>
      <c r="J115" s="50" t="s">
        <v>104</v>
      </c>
      <c r="K115" s="40"/>
      <c r="L115" s="40"/>
      <c r="M115" s="197"/>
      <c r="N115" s="40"/>
      <c r="O115" s="40"/>
      <c r="P115" s="265" t="s">
        <v>278</v>
      </c>
      <c r="Q115" s="443" t="str">
        <f ca="1">VLOOKUP(O118,'Predicción x Casa'!$A$1:$C$9,3)</f>
        <v>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v>
      </c>
      <c r="R115" s="444"/>
      <c r="S115" s="444"/>
      <c r="T115" s="444"/>
      <c r="U115" s="444"/>
      <c r="V115" s="444"/>
      <c r="W115" s="444"/>
      <c r="X115" s="444"/>
      <c r="Y115" s="444"/>
      <c r="Z115" s="444"/>
      <c r="AA115" s="444"/>
      <c r="AB115" s="444"/>
      <c r="AC115" s="444"/>
      <c r="AD115" s="444"/>
      <c r="AE115" s="444"/>
      <c r="AF115" s="444"/>
      <c r="AG115" s="444"/>
      <c r="AH115" s="444"/>
      <c r="AI115" s="444"/>
      <c r="AJ115" s="444"/>
      <c r="AK115" s="444"/>
      <c r="AL115" s="445"/>
      <c r="AM115" s="44"/>
    </row>
    <row r="116" spans="1:39" ht="15" customHeight="1" thickBot="1">
      <c r="A116" s="290"/>
      <c r="B116" s="274"/>
      <c r="C116" s="275"/>
      <c r="D116" s="40"/>
      <c r="E116" s="51" t="s">
        <v>105</v>
      </c>
      <c r="F116" s="52">
        <f ca="1">IF(G117-1&lt;1,9,G117-1)</f>
        <v>9</v>
      </c>
      <c r="G116" s="248">
        <f ca="1">IF(G118-1&lt;1,9,G118-1)</f>
        <v>5</v>
      </c>
      <c r="H116" s="248"/>
      <c r="I116" s="54">
        <f ca="1">IF(F117-1&lt;1,9,F117-1)</f>
        <v>7</v>
      </c>
      <c r="J116" s="55" t="s">
        <v>106</v>
      </c>
      <c r="K116" s="199" t="s">
        <v>289</v>
      </c>
      <c r="L116" s="40"/>
      <c r="M116" s="40"/>
      <c r="N116" s="40"/>
      <c r="O116" s="40"/>
      <c r="P116" s="266"/>
      <c r="Q116" s="446"/>
      <c r="R116" s="447"/>
      <c r="S116" s="447"/>
      <c r="T116" s="447"/>
      <c r="U116" s="447"/>
      <c r="V116" s="447"/>
      <c r="W116" s="447"/>
      <c r="X116" s="447"/>
      <c r="Y116" s="447"/>
      <c r="Z116" s="447"/>
      <c r="AA116" s="447"/>
      <c r="AB116" s="447"/>
      <c r="AC116" s="447"/>
      <c r="AD116" s="447"/>
      <c r="AE116" s="447"/>
      <c r="AF116" s="447"/>
      <c r="AG116" s="447"/>
      <c r="AH116" s="447"/>
      <c r="AI116" s="447"/>
      <c r="AJ116" s="447"/>
      <c r="AK116" s="447"/>
      <c r="AL116" s="448"/>
      <c r="AM116" s="44"/>
    </row>
    <row r="117" spans="1:39" ht="15" customHeight="1">
      <c r="A117" s="290"/>
      <c r="B117" s="274"/>
      <c r="C117" s="275"/>
      <c r="D117" s="40"/>
      <c r="E117" s="56" t="s">
        <v>107</v>
      </c>
      <c r="F117" s="57">
        <f ca="1">IF(F116-1&lt;1,9,F116-1)</f>
        <v>8</v>
      </c>
      <c r="G117" s="252">
        <f ca="1">+O117</f>
        <v>1</v>
      </c>
      <c r="H117" s="253"/>
      <c r="I117" s="58">
        <f ca="1">IF(F118-1&lt;1,9,F118-1)</f>
        <v>3</v>
      </c>
      <c r="J117" s="59" t="s">
        <v>108</v>
      </c>
      <c r="K117"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17" s="254" t="s">
        <v>288</v>
      </c>
      <c r="M117" s="255"/>
      <c r="N117" s="255"/>
      <c r="O117" s="201">
        <f ca="1">HLOOKUP(K117,'Cálculo de 2a. Estrella'!$Q$3:$Z$15,5)</f>
        <v>1</v>
      </c>
      <c r="P117" s="266"/>
      <c r="Q117" s="446"/>
      <c r="R117" s="447"/>
      <c r="S117" s="447"/>
      <c r="T117" s="447"/>
      <c r="U117" s="447"/>
      <c r="V117" s="447"/>
      <c r="W117" s="447"/>
      <c r="X117" s="447"/>
      <c r="Y117" s="447"/>
      <c r="Z117" s="447"/>
      <c r="AA117" s="447"/>
      <c r="AB117" s="447"/>
      <c r="AC117" s="447"/>
      <c r="AD117" s="447"/>
      <c r="AE117" s="447"/>
      <c r="AF117" s="447"/>
      <c r="AG117" s="447"/>
      <c r="AH117" s="447"/>
      <c r="AI117" s="447"/>
      <c r="AJ117" s="447"/>
      <c r="AK117" s="447"/>
      <c r="AL117" s="448"/>
      <c r="AM117" s="44"/>
    </row>
    <row r="118" spans="1:39" ht="15" customHeight="1" thickBot="1">
      <c r="A118" s="290"/>
      <c r="B118" s="274"/>
      <c r="C118" s="275"/>
      <c r="D118" s="40"/>
      <c r="E118" s="51" t="s">
        <v>109</v>
      </c>
      <c r="F118" s="60">
        <f ca="1">IF(G116-1&lt;1,9,G116-1)</f>
        <v>4</v>
      </c>
      <c r="G118" s="278">
        <f ca="1">IF(I116-1&lt;1,9,I116-1)</f>
        <v>6</v>
      </c>
      <c r="H118" s="278"/>
      <c r="I118" s="62">
        <f ca="1">IF(I117-1&lt;1,9,I117-1)</f>
        <v>2</v>
      </c>
      <c r="J118" s="55" t="s">
        <v>110</v>
      </c>
      <c r="K118" s="249" t="str">
        <f>CONCATENATE(TEXT($I$19,"##0")," Visita la casa ")</f>
        <v xml:space="preserve">2 Visita la casa </v>
      </c>
      <c r="L118" s="250"/>
      <c r="M118" s="250"/>
      <c r="N118" s="251"/>
      <c r="O118" s="202">
        <f ca="1">IF(F116-$I$19=0,4,IF(G116-$I$19=0,9,IF(I116-$I$19=0,2,IF(F117-$I$19=0,3,IF(G117-$I$19=0,5,IF(I117-$I$19=0,7,IF(F118-$I$19=0,8,IF(G118-$I$19=0,1,6))))))))</f>
        <v>6</v>
      </c>
      <c r="P118" s="266"/>
      <c r="Q118" s="446"/>
      <c r="R118" s="447"/>
      <c r="S118" s="447"/>
      <c r="T118" s="447"/>
      <c r="U118" s="447"/>
      <c r="V118" s="447"/>
      <c r="W118" s="447"/>
      <c r="X118" s="447"/>
      <c r="Y118" s="447"/>
      <c r="Z118" s="447"/>
      <c r="AA118" s="447"/>
      <c r="AB118" s="447"/>
      <c r="AC118" s="447"/>
      <c r="AD118" s="447"/>
      <c r="AE118" s="447"/>
      <c r="AF118" s="447"/>
      <c r="AG118" s="447"/>
      <c r="AH118" s="447"/>
      <c r="AI118" s="447"/>
      <c r="AJ118" s="447"/>
      <c r="AK118" s="447"/>
      <c r="AL118" s="448"/>
      <c r="AM118" s="44"/>
    </row>
    <row r="119" spans="1:39" ht="15" customHeight="1" thickBot="1">
      <c r="A119" s="290"/>
      <c r="B119" s="274"/>
      <c r="C119" s="275"/>
      <c r="D119" s="40"/>
      <c r="E119" s="63" t="s">
        <v>111</v>
      </c>
      <c r="F119" s="64" t="s">
        <v>112</v>
      </c>
      <c r="G119" s="292" t="s">
        <v>113</v>
      </c>
      <c r="H119" s="292"/>
      <c r="I119" s="64" t="s">
        <v>114</v>
      </c>
      <c r="J119" s="66" t="s">
        <v>115</v>
      </c>
      <c r="K119" s="40"/>
      <c r="L119" s="279"/>
      <c r="M119" s="279"/>
      <c r="N119" s="279"/>
      <c r="O119" s="40"/>
      <c r="P119" s="267"/>
      <c r="Q119" s="449"/>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1"/>
      <c r="AM119" s="44"/>
    </row>
    <row r="120" spans="1:39" ht="13.5" thickBot="1">
      <c r="A120" s="290"/>
      <c r="B120" s="274"/>
      <c r="C120" s="275"/>
      <c r="D120" s="40"/>
      <c r="E120" s="40"/>
      <c r="F120" s="40"/>
      <c r="G120" s="40"/>
      <c r="H120" s="40"/>
      <c r="I120" s="40"/>
      <c r="J120" s="40"/>
      <c r="K120" s="40"/>
      <c r="L120" s="279"/>
      <c r="M120" s="279"/>
      <c r="N120" s="279"/>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4"/>
    </row>
    <row r="121" spans="1:39" ht="15" customHeight="1" thickBot="1">
      <c r="A121" s="290"/>
      <c r="B121" s="274"/>
      <c r="C121" s="275"/>
      <c r="D121" s="40"/>
      <c r="E121" s="47" t="s">
        <v>100</v>
      </c>
      <c r="F121" s="48" t="s">
        <v>101</v>
      </c>
      <c r="G121" s="247" t="s">
        <v>102</v>
      </c>
      <c r="H121" s="247"/>
      <c r="I121" s="48" t="s">
        <v>103</v>
      </c>
      <c r="J121" s="50" t="s">
        <v>104</v>
      </c>
      <c r="K121" s="40"/>
      <c r="L121" s="40"/>
      <c r="M121" s="197"/>
      <c r="N121" s="40"/>
      <c r="O121" s="40"/>
      <c r="P121" s="265" t="s">
        <v>279</v>
      </c>
      <c r="Q121" s="443" t="str">
        <f ca="1">VLOOKUP(O124,'Predicción x Casa'!$A$1:$C$9,3)</f>
        <v>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v>
      </c>
      <c r="R121" s="444"/>
      <c r="S121" s="444"/>
      <c r="T121" s="444"/>
      <c r="U121" s="444"/>
      <c r="V121" s="444"/>
      <c r="W121" s="444"/>
      <c r="X121" s="444"/>
      <c r="Y121" s="444"/>
      <c r="Z121" s="444"/>
      <c r="AA121" s="444"/>
      <c r="AB121" s="444"/>
      <c r="AC121" s="444"/>
      <c r="AD121" s="444"/>
      <c r="AE121" s="444"/>
      <c r="AF121" s="444"/>
      <c r="AG121" s="444"/>
      <c r="AH121" s="444"/>
      <c r="AI121" s="444"/>
      <c r="AJ121" s="444"/>
      <c r="AK121" s="444"/>
      <c r="AL121" s="445"/>
      <c r="AM121" s="44"/>
    </row>
    <row r="122" spans="1:39" ht="15" customHeight="1" thickBot="1">
      <c r="A122" s="290"/>
      <c r="B122" s="274"/>
      <c r="C122" s="275"/>
      <c r="D122" s="40"/>
      <c r="E122" s="51" t="s">
        <v>105</v>
      </c>
      <c r="F122" s="52">
        <f ca="1">IF(G123-1&lt;1,9,G123-1)</f>
        <v>8</v>
      </c>
      <c r="G122" s="248">
        <f ca="1">IF(G124-1&lt;1,9,G124-1)</f>
        <v>4</v>
      </c>
      <c r="H122" s="248"/>
      <c r="I122" s="54">
        <f ca="1">IF(F123-1&lt;1,9,F123-1)</f>
        <v>6</v>
      </c>
      <c r="J122" s="55" t="s">
        <v>106</v>
      </c>
      <c r="K122" s="199" t="s">
        <v>289</v>
      </c>
      <c r="L122" s="40"/>
      <c r="M122" s="40"/>
      <c r="N122" s="40"/>
      <c r="O122" s="40"/>
      <c r="P122" s="266"/>
      <c r="Q122" s="446"/>
      <c r="R122" s="447"/>
      <c r="S122" s="447"/>
      <c r="T122" s="447"/>
      <c r="U122" s="447"/>
      <c r="V122" s="447"/>
      <c r="W122" s="447"/>
      <c r="X122" s="447"/>
      <c r="Y122" s="447"/>
      <c r="Z122" s="447"/>
      <c r="AA122" s="447"/>
      <c r="AB122" s="447"/>
      <c r="AC122" s="447"/>
      <c r="AD122" s="447"/>
      <c r="AE122" s="447"/>
      <c r="AF122" s="447"/>
      <c r="AG122" s="447"/>
      <c r="AH122" s="447"/>
      <c r="AI122" s="447"/>
      <c r="AJ122" s="447"/>
      <c r="AK122" s="447"/>
      <c r="AL122" s="448"/>
      <c r="AM122" s="44"/>
    </row>
    <row r="123" spans="1:39" ht="15" customHeight="1">
      <c r="A123" s="290"/>
      <c r="B123" s="274"/>
      <c r="C123" s="275"/>
      <c r="D123" s="40"/>
      <c r="E123" s="56" t="s">
        <v>107</v>
      </c>
      <c r="F123" s="57">
        <f ca="1">IF(F122-1&lt;1,9,F122-1)</f>
        <v>7</v>
      </c>
      <c r="G123" s="252">
        <f ca="1">+O123</f>
        <v>9</v>
      </c>
      <c r="H123" s="253"/>
      <c r="I123" s="58">
        <f ca="1">IF(F124-1&lt;1,9,F124-1)</f>
        <v>2</v>
      </c>
      <c r="J123" s="59" t="s">
        <v>108</v>
      </c>
      <c r="K123"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23" s="254" t="s">
        <v>288</v>
      </c>
      <c r="M123" s="255"/>
      <c r="N123" s="255"/>
      <c r="O123" s="201">
        <f ca="1">HLOOKUP(K123,'Cálculo de 2a. Estrella'!$Q$3:$Z$15,6)</f>
        <v>9</v>
      </c>
      <c r="P123" s="266"/>
      <c r="Q123" s="446"/>
      <c r="R123" s="447"/>
      <c r="S123" s="447"/>
      <c r="T123" s="447"/>
      <c r="U123" s="447"/>
      <c r="V123" s="447"/>
      <c r="W123" s="447"/>
      <c r="X123" s="447"/>
      <c r="Y123" s="447"/>
      <c r="Z123" s="447"/>
      <c r="AA123" s="447"/>
      <c r="AB123" s="447"/>
      <c r="AC123" s="447"/>
      <c r="AD123" s="447"/>
      <c r="AE123" s="447"/>
      <c r="AF123" s="447"/>
      <c r="AG123" s="447"/>
      <c r="AH123" s="447"/>
      <c r="AI123" s="447"/>
      <c r="AJ123" s="447"/>
      <c r="AK123" s="447"/>
      <c r="AL123" s="448"/>
      <c r="AM123" s="44"/>
    </row>
    <row r="124" spans="1:39" ht="15" customHeight="1" thickBot="1">
      <c r="A124" s="290"/>
      <c r="B124" s="274"/>
      <c r="C124" s="275"/>
      <c r="D124" s="40"/>
      <c r="E124" s="51" t="s">
        <v>109</v>
      </c>
      <c r="F124" s="60">
        <f ca="1">IF(G122-1&lt;1,9,G122-1)</f>
        <v>3</v>
      </c>
      <c r="G124" s="278">
        <f ca="1">IF(I122-1&lt;1,9,I122-1)</f>
        <v>5</v>
      </c>
      <c r="H124" s="278"/>
      <c r="I124" s="62">
        <f ca="1">IF(I123-1&lt;1,9,I123-1)</f>
        <v>1</v>
      </c>
      <c r="J124" s="55" t="s">
        <v>110</v>
      </c>
      <c r="K124" s="249" t="str">
        <f>CONCATENATE(TEXT($I$19,"##0")," Visita la casa ")</f>
        <v xml:space="preserve">2 Visita la casa </v>
      </c>
      <c r="L124" s="250"/>
      <c r="M124" s="250"/>
      <c r="N124" s="251"/>
      <c r="O124" s="202">
        <f ca="1">IF(F122-$I$19=0,4,IF(G122-$I$19=0,9,IF(I122-$I$19=0,2,IF(F123-$I$19=0,3,IF(G123-$I$19=0,5,IF(I123-$I$19=0,7,IF(F124-$I$19=0,8,IF(G124-$I$19=0,1,6))))))))</f>
        <v>7</v>
      </c>
      <c r="P124" s="266"/>
      <c r="Q124" s="446"/>
      <c r="R124" s="447"/>
      <c r="S124" s="447"/>
      <c r="T124" s="447"/>
      <c r="U124" s="447"/>
      <c r="V124" s="447"/>
      <c r="W124" s="447"/>
      <c r="X124" s="447"/>
      <c r="Y124" s="447"/>
      <c r="Z124" s="447"/>
      <c r="AA124" s="447"/>
      <c r="AB124" s="447"/>
      <c r="AC124" s="447"/>
      <c r="AD124" s="447"/>
      <c r="AE124" s="447"/>
      <c r="AF124" s="447"/>
      <c r="AG124" s="447"/>
      <c r="AH124" s="447"/>
      <c r="AI124" s="447"/>
      <c r="AJ124" s="447"/>
      <c r="AK124" s="447"/>
      <c r="AL124" s="448"/>
      <c r="AM124" s="44"/>
    </row>
    <row r="125" spans="1:39" ht="15" customHeight="1" thickBot="1">
      <c r="A125" s="290"/>
      <c r="B125" s="274"/>
      <c r="C125" s="275"/>
      <c r="D125" s="40"/>
      <c r="E125" s="63" t="s">
        <v>111</v>
      </c>
      <c r="F125" s="64" t="s">
        <v>112</v>
      </c>
      <c r="G125" s="292" t="s">
        <v>113</v>
      </c>
      <c r="H125" s="292"/>
      <c r="I125" s="64" t="s">
        <v>114</v>
      </c>
      <c r="J125" s="66" t="s">
        <v>115</v>
      </c>
      <c r="K125" s="40"/>
      <c r="L125" s="279"/>
      <c r="M125" s="279"/>
      <c r="N125" s="279"/>
      <c r="O125" s="40"/>
      <c r="P125" s="267"/>
      <c r="Q125" s="449"/>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1"/>
      <c r="AM125" s="44"/>
    </row>
    <row r="126" spans="1:39" ht="13.5" thickBot="1">
      <c r="A126" s="290"/>
      <c r="B126" s="274"/>
      <c r="C126" s="275"/>
      <c r="D126" s="40"/>
      <c r="E126" s="40"/>
      <c r="F126" s="40"/>
      <c r="G126" s="40"/>
      <c r="H126" s="40"/>
      <c r="I126" s="40"/>
      <c r="J126" s="40"/>
      <c r="K126" s="40"/>
      <c r="L126" s="279"/>
      <c r="M126" s="279"/>
      <c r="N126" s="279"/>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4"/>
    </row>
    <row r="127" spans="1:39" ht="15" customHeight="1" thickBot="1">
      <c r="A127" s="290"/>
      <c r="B127" s="274"/>
      <c r="C127" s="275"/>
      <c r="D127" s="40"/>
      <c r="E127" s="47" t="s">
        <v>100</v>
      </c>
      <c r="F127" s="48" t="s">
        <v>101</v>
      </c>
      <c r="G127" s="247" t="s">
        <v>102</v>
      </c>
      <c r="H127" s="247"/>
      <c r="I127" s="48" t="s">
        <v>103</v>
      </c>
      <c r="J127" s="50" t="s">
        <v>104</v>
      </c>
      <c r="K127" s="40"/>
      <c r="L127" s="40"/>
      <c r="M127" s="197"/>
      <c r="N127" s="40"/>
      <c r="O127" s="40"/>
      <c r="P127" s="265" t="s">
        <v>280</v>
      </c>
      <c r="Q127" s="443" t="str">
        <f ca="1">VLOOKUP(O130,'Predicción x Casa'!$A$1:$C$9,3)</f>
        <v>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v>
      </c>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5"/>
      <c r="AM127" s="44"/>
    </row>
    <row r="128" spans="1:39" ht="15" customHeight="1" thickBot="1">
      <c r="A128" s="290"/>
      <c r="B128" s="274"/>
      <c r="C128" s="275"/>
      <c r="D128" s="40"/>
      <c r="E128" s="51" t="s">
        <v>105</v>
      </c>
      <c r="F128" s="52">
        <f ca="1">IF(G129-1&lt;1,9,G129-1)</f>
        <v>7</v>
      </c>
      <c r="G128" s="248">
        <f ca="1">IF(G130-1&lt;1,9,G130-1)</f>
        <v>3</v>
      </c>
      <c r="H128" s="248"/>
      <c r="I128" s="54">
        <f ca="1">IF(F129-1&lt;1,9,F129-1)</f>
        <v>5</v>
      </c>
      <c r="J128" s="55" t="s">
        <v>106</v>
      </c>
      <c r="K128" s="199" t="s">
        <v>289</v>
      </c>
      <c r="L128" s="40"/>
      <c r="M128" s="40"/>
      <c r="N128" s="40"/>
      <c r="O128" s="40"/>
      <c r="P128" s="266"/>
      <c r="Q128" s="446"/>
      <c r="R128" s="447"/>
      <c r="S128" s="447"/>
      <c r="T128" s="447"/>
      <c r="U128" s="447"/>
      <c r="V128" s="447"/>
      <c r="W128" s="447"/>
      <c r="X128" s="447"/>
      <c r="Y128" s="447"/>
      <c r="Z128" s="447"/>
      <c r="AA128" s="447"/>
      <c r="AB128" s="447"/>
      <c r="AC128" s="447"/>
      <c r="AD128" s="447"/>
      <c r="AE128" s="447"/>
      <c r="AF128" s="447"/>
      <c r="AG128" s="447"/>
      <c r="AH128" s="447"/>
      <c r="AI128" s="447"/>
      <c r="AJ128" s="447"/>
      <c r="AK128" s="447"/>
      <c r="AL128" s="448"/>
      <c r="AM128" s="44"/>
    </row>
    <row r="129" spans="1:39" ht="15" customHeight="1">
      <c r="A129" s="290"/>
      <c r="B129" s="274"/>
      <c r="C129" s="275"/>
      <c r="D129" s="40"/>
      <c r="E129" s="56" t="s">
        <v>107</v>
      </c>
      <c r="F129" s="57">
        <f ca="1">IF(F128-1&lt;1,9,F128-1)</f>
        <v>6</v>
      </c>
      <c r="G129" s="252">
        <f ca="1">+O129</f>
        <v>8</v>
      </c>
      <c r="H129" s="253"/>
      <c r="I129" s="58">
        <f ca="1">IF(F130-1&lt;1,9,F130-1)</f>
        <v>1</v>
      </c>
      <c r="J129" s="59" t="s">
        <v>108</v>
      </c>
      <c r="K129"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29" s="254" t="s">
        <v>288</v>
      </c>
      <c r="M129" s="255"/>
      <c r="N129" s="255"/>
      <c r="O129" s="201">
        <f ca="1">HLOOKUP(K129,'Cálculo de 2a. Estrella'!$Q$3:$Z$15,7)</f>
        <v>8</v>
      </c>
      <c r="P129" s="266"/>
      <c r="Q129" s="446"/>
      <c r="R129" s="447"/>
      <c r="S129" s="447"/>
      <c r="T129" s="447"/>
      <c r="U129" s="447"/>
      <c r="V129" s="447"/>
      <c r="W129" s="447"/>
      <c r="X129" s="447"/>
      <c r="Y129" s="447"/>
      <c r="Z129" s="447"/>
      <c r="AA129" s="447"/>
      <c r="AB129" s="447"/>
      <c r="AC129" s="447"/>
      <c r="AD129" s="447"/>
      <c r="AE129" s="447"/>
      <c r="AF129" s="447"/>
      <c r="AG129" s="447"/>
      <c r="AH129" s="447"/>
      <c r="AI129" s="447"/>
      <c r="AJ129" s="447"/>
      <c r="AK129" s="447"/>
      <c r="AL129" s="448"/>
      <c r="AM129" s="44"/>
    </row>
    <row r="130" spans="1:39" ht="15" customHeight="1" thickBot="1">
      <c r="A130" s="290"/>
      <c r="B130" s="274"/>
      <c r="C130" s="275"/>
      <c r="D130" s="40"/>
      <c r="E130" s="51" t="s">
        <v>109</v>
      </c>
      <c r="F130" s="60">
        <f ca="1">IF(G128-1&lt;1,9,G128-1)</f>
        <v>2</v>
      </c>
      <c r="G130" s="278">
        <f ca="1">IF(I128-1&lt;1,9,I128-1)</f>
        <v>4</v>
      </c>
      <c r="H130" s="278"/>
      <c r="I130" s="62">
        <f ca="1">IF(I129-1&lt;1,9,I129-1)</f>
        <v>9</v>
      </c>
      <c r="J130" s="55" t="s">
        <v>110</v>
      </c>
      <c r="K130" s="249" t="str">
        <f>CONCATENATE(TEXT($I$19,"##0")," Visita la casa ")</f>
        <v xml:space="preserve">2 Visita la casa </v>
      </c>
      <c r="L130" s="250"/>
      <c r="M130" s="250"/>
      <c r="N130" s="251"/>
      <c r="O130" s="202">
        <f ca="1">IF(F128-$I$19=0,4,IF(G128-$I$19=0,9,IF(I128-$I$19=0,2,IF(F129-$I$19=0,3,IF(G129-$I$19=0,5,IF(I129-$I$19=0,7,IF(F130-$I$19=0,8,IF(G130-$I$19=0,1,6))))))))</f>
        <v>8</v>
      </c>
      <c r="P130" s="266"/>
      <c r="Q130" s="446"/>
      <c r="R130" s="447"/>
      <c r="S130" s="447"/>
      <c r="T130" s="447"/>
      <c r="U130" s="447"/>
      <c r="V130" s="447"/>
      <c r="W130" s="447"/>
      <c r="X130" s="447"/>
      <c r="Y130" s="447"/>
      <c r="Z130" s="447"/>
      <c r="AA130" s="447"/>
      <c r="AB130" s="447"/>
      <c r="AC130" s="447"/>
      <c r="AD130" s="447"/>
      <c r="AE130" s="447"/>
      <c r="AF130" s="447"/>
      <c r="AG130" s="447"/>
      <c r="AH130" s="447"/>
      <c r="AI130" s="447"/>
      <c r="AJ130" s="447"/>
      <c r="AK130" s="447"/>
      <c r="AL130" s="448"/>
      <c r="AM130" s="44"/>
    </row>
    <row r="131" spans="1:39" ht="15" customHeight="1" thickBot="1">
      <c r="A131" s="290"/>
      <c r="B131" s="274"/>
      <c r="C131" s="275"/>
      <c r="D131" s="40"/>
      <c r="E131" s="63" t="s">
        <v>111</v>
      </c>
      <c r="F131" s="64" t="s">
        <v>112</v>
      </c>
      <c r="G131" s="292" t="s">
        <v>113</v>
      </c>
      <c r="H131" s="292"/>
      <c r="I131" s="64" t="s">
        <v>114</v>
      </c>
      <c r="J131" s="66" t="s">
        <v>115</v>
      </c>
      <c r="K131" s="40"/>
      <c r="L131" s="279"/>
      <c r="M131" s="279"/>
      <c r="N131" s="279"/>
      <c r="O131" s="40"/>
      <c r="P131" s="267"/>
      <c r="Q131" s="449"/>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1"/>
      <c r="AM131" s="44"/>
    </row>
    <row r="132" spans="1:39" ht="13.5" thickBot="1">
      <c r="A132" s="290"/>
      <c r="B132" s="274"/>
      <c r="C132" s="275"/>
      <c r="D132" s="40"/>
      <c r="E132" s="40"/>
      <c r="F132" s="40"/>
      <c r="G132" s="40"/>
      <c r="H132" s="40"/>
      <c r="I132" s="40"/>
      <c r="J132" s="40"/>
      <c r="K132" s="40"/>
      <c r="L132" s="279"/>
      <c r="M132" s="279"/>
      <c r="N132" s="279"/>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4"/>
    </row>
    <row r="133" spans="1:39" ht="15" customHeight="1" thickBot="1">
      <c r="A133" s="290"/>
      <c r="B133" s="274"/>
      <c r="C133" s="275"/>
      <c r="D133" s="40"/>
      <c r="E133" s="47" t="s">
        <v>100</v>
      </c>
      <c r="F133" s="48" t="s">
        <v>101</v>
      </c>
      <c r="G133" s="247" t="s">
        <v>102</v>
      </c>
      <c r="H133" s="247"/>
      <c r="I133" s="48" t="s">
        <v>103</v>
      </c>
      <c r="J133" s="50" t="s">
        <v>104</v>
      </c>
      <c r="K133" s="40"/>
      <c r="L133" s="40"/>
      <c r="M133" s="197"/>
      <c r="N133" s="40"/>
      <c r="O133" s="40"/>
      <c r="P133" s="265" t="s">
        <v>281</v>
      </c>
      <c r="Q133" s="443" t="str">
        <f ca="1">VLOOKUP(O136,'Predicción x Casa'!$A$1:$C$9,3)</f>
        <v>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v>
      </c>
      <c r="R133" s="444"/>
      <c r="S133" s="444"/>
      <c r="T133" s="444"/>
      <c r="U133" s="444"/>
      <c r="V133" s="444"/>
      <c r="W133" s="444"/>
      <c r="X133" s="444"/>
      <c r="Y133" s="444"/>
      <c r="Z133" s="444"/>
      <c r="AA133" s="444"/>
      <c r="AB133" s="444"/>
      <c r="AC133" s="444"/>
      <c r="AD133" s="444"/>
      <c r="AE133" s="444"/>
      <c r="AF133" s="444"/>
      <c r="AG133" s="444"/>
      <c r="AH133" s="444"/>
      <c r="AI133" s="444"/>
      <c r="AJ133" s="444"/>
      <c r="AK133" s="444"/>
      <c r="AL133" s="445"/>
      <c r="AM133" s="44"/>
    </row>
    <row r="134" spans="1:39" ht="15" customHeight="1" thickBot="1">
      <c r="A134" s="290"/>
      <c r="B134" s="274"/>
      <c r="C134" s="275"/>
      <c r="D134" s="40"/>
      <c r="E134" s="51" t="s">
        <v>105</v>
      </c>
      <c r="F134" s="52">
        <f ca="1">IF(G135-1&lt;1,9,G135-1)</f>
        <v>6</v>
      </c>
      <c r="G134" s="248">
        <f ca="1">IF(G136-1&lt;1,9,G136-1)</f>
        <v>2</v>
      </c>
      <c r="H134" s="248"/>
      <c r="I134" s="54">
        <f ca="1">IF(F135-1&lt;1,9,F135-1)</f>
        <v>4</v>
      </c>
      <c r="J134" s="55" t="s">
        <v>106</v>
      </c>
      <c r="K134" s="199" t="s">
        <v>289</v>
      </c>
      <c r="L134" s="40"/>
      <c r="M134" s="40"/>
      <c r="N134" s="40"/>
      <c r="O134" s="40"/>
      <c r="P134" s="266"/>
      <c r="Q134" s="446"/>
      <c r="R134" s="447"/>
      <c r="S134" s="447"/>
      <c r="T134" s="447"/>
      <c r="U134" s="447"/>
      <c r="V134" s="447"/>
      <c r="W134" s="447"/>
      <c r="X134" s="447"/>
      <c r="Y134" s="447"/>
      <c r="Z134" s="447"/>
      <c r="AA134" s="447"/>
      <c r="AB134" s="447"/>
      <c r="AC134" s="447"/>
      <c r="AD134" s="447"/>
      <c r="AE134" s="447"/>
      <c r="AF134" s="447"/>
      <c r="AG134" s="447"/>
      <c r="AH134" s="447"/>
      <c r="AI134" s="447"/>
      <c r="AJ134" s="447"/>
      <c r="AK134" s="447"/>
      <c r="AL134" s="448"/>
      <c r="AM134" s="44"/>
    </row>
    <row r="135" spans="1:39" ht="15" customHeight="1">
      <c r="A135" s="290"/>
      <c r="B135" s="274"/>
      <c r="C135" s="275"/>
      <c r="D135" s="40"/>
      <c r="E135" s="56" t="s">
        <v>107</v>
      </c>
      <c r="F135" s="57">
        <f ca="1">IF(F134-1&lt;1,9,F134-1)</f>
        <v>5</v>
      </c>
      <c r="G135" s="252">
        <f ca="1">+O135</f>
        <v>7</v>
      </c>
      <c r="H135" s="253"/>
      <c r="I135" s="58">
        <f ca="1">IF(F136-1&lt;1,9,F136-1)</f>
        <v>9</v>
      </c>
      <c r="J135" s="59" t="s">
        <v>108</v>
      </c>
      <c r="K135"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35" s="254" t="s">
        <v>288</v>
      </c>
      <c r="M135" s="255"/>
      <c r="N135" s="255"/>
      <c r="O135" s="201">
        <f ca="1">HLOOKUP(K135,'Cálculo de 2a. Estrella'!$Q$3:$Z$15,8)</f>
        <v>7</v>
      </c>
      <c r="P135" s="266"/>
      <c r="Q135" s="446"/>
      <c r="R135" s="447"/>
      <c r="S135" s="447"/>
      <c r="T135" s="447"/>
      <c r="U135" s="447"/>
      <c r="V135" s="447"/>
      <c r="W135" s="447"/>
      <c r="X135" s="447"/>
      <c r="Y135" s="447"/>
      <c r="Z135" s="447"/>
      <c r="AA135" s="447"/>
      <c r="AB135" s="447"/>
      <c r="AC135" s="447"/>
      <c r="AD135" s="447"/>
      <c r="AE135" s="447"/>
      <c r="AF135" s="447"/>
      <c r="AG135" s="447"/>
      <c r="AH135" s="447"/>
      <c r="AI135" s="447"/>
      <c r="AJ135" s="447"/>
      <c r="AK135" s="447"/>
      <c r="AL135" s="448"/>
      <c r="AM135" s="44"/>
    </row>
    <row r="136" spans="1:39" ht="15" customHeight="1" thickBot="1">
      <c r="A136" s="290"/>
      <c r="B136" s="274"/>
      <c r="C136" s="275"/>
      <c r="D136" s="40"/>
      <c r="E136" s="51" t="s">
        <v>109</v>
      </c>
      <c r="F136" s="60">
        <f ca="1">IF(G134-1&lt;1,9,G134-1)</f>
        <v>1</v>
      </c>
      <c r="G136" s="278">
        <f ca="1">IF(I134-1&lt;1,9,I134-1)</f>
        <v>3</v>
      </c>
      <c r="H136" s="278"/>
      <c r="I136" s="62">
        <f ca="1">IF(I135-1&lt;1,9,I135-1)</f>
        <v>8</v>
      </c>
      <c r="J136" s="55" t="s">
        <v>110</v>
      </c>
      <c r="K136" s="249" t="str">
        <f>CONCATENATE(TEXT($I$19,"##0")," Visita la casa ")</f>
        <v xml:space="preserve">2 Visita la casa </v>
      </c>
      <c r="L136" s="250"/>
      <c r="M136" s="250"/>
      <c r="N136" s="251"/>
      <c r="O136" s="202">
        <f ca="1">IF(F134-$I$19=0,4,IF(G134-$I$19=0,9,IF(I134-$I$19=0,2,IF(F135-$I$19=0,3,IF(G135-$I$19=0,5,IF(I135-$I$19=0,7,IF(F136-$I$19=0,8,IF(G136-$I$19=0,1,6))))))))</f>
        <v>9</v>
      </c>
      <c r="P136" s="266"/>
      <c r="Q136" s="446"/>
      <c r="R136" s="447"/>
      <c r="S136" s="447"/>
      <c r="T136" s="447"/>
      <c r="U136" s="447"/>
      <c r="V136" s="447"/>
      <c r="W136" s="447"/>
      <c r="X136" s="447"/>
      <c r="Y136" s="447"/>
      <c r="Z136" s="447"/>
      <c r="AA136" s="447"/>
      <c r="AB136" s="447"/>
      <c r="AC136" s="447"/>
      <c r="AD136" s="447"/>
      <c r="AE136" s="447"/>
      <c r="AF136" s="447"/>
      <c r="AG136" s="447"/>
      <c r="AH136" s="447"/>
      <c r="AI136" s="447"/>
      <c r="AJ136" s="447"/>
      <c r="AK136" s="447"/>
      <c r="AL136" s="448"/>
      <c r="AM136" s="44"/>
    </row>
    <row r="137" spans="1:39" ht="15" customHeight="1" thickBot="1">
      <c r="A137" s="291"/>
      <c r="B137" s="276"/>
      <c r="C137" s="277"/>
      <c r="D137" s="40"/>
      <c r="E137" s="63" t="s">
        <v>111</v>
      </c>
      <c r="F137" s="64" t="s">
        <v>112</v>
      </c>
      <c r="G137" s="292" t="s">
        <v>113</v>
      </c>
      <c r="H137" s="292"/>
      <c r="I137" s="64" t="s">
        <v>114</v>
      </c>
      <c r="J137" s="66" t="s">
        <v>115</v>
      </c>
      <c r="K137" s="40"/>
      <c r="L137" s="279"/>
      <c r="M137" s="279"/>
      <c r="N137" s="279"/>
      <c r="O137" s="40"/>
      <c r="P137" s="267"/>
      <c r="Q137" s="449"/>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1"/>
      <c r="AM137" s="44"/>
    </row>
    <row r="138" spans="1:39" ht="13.5" thickBot="1">
      <c r="A138" s="41"/>
      <c r="B138" s="42"/>
      <c r="C138" s="42"/>
      <c r="D138" s="42"/>
      <c r="E138" s="42"/>
      <c r="F138" s="42"/>
      <c r="G138" s="42"/>
      <c r="H138" s="42"/>
      <c r="I138" s="42"/>
      <c r="J138" s="42"/>
      <c r="K138" s="42"/>
      <c r="L138" s="441"/>
      <c r="M138" s="441"/>
      <c r="N138" s="441"/>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5"/>
    </row>
    <row r="139" spans="1:39" ht="13.5" thickBot="1">
      <c r="A139" s="37"/>
      <c r="B139" s="38"/>
      <c r="C139" s="38"/>
      <c r="D139" s="38"/>
      <c r="E139" s="38"/>
      <c r="F139" s="38"/>
      <c r="G139" s="38"/>
      <c r="H139" s="38"/>
      <c r="I139" s="38"/>
      <c r="J139" s="38"/>
      <c r="K139" s="38"/>
      <c r="L139" s="442"/>
      <c r="M139" s="442"/>
      <c r="N139" s="442"/>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43"/>
    </row>
    <row r="140" spans="1:39" ht="15" customHeight="1" thickBot="1">
      <c r="A140" s="289" t="str">
        <f ca="1">CONCATENATE("PREDICCIONES DEL HORÓSCOPO CHINO PARA EL AÑO ",UPPER(LOOKUP(L8,Horóscopo!K4:L123,Horóscopo!A4:A123)))</f>
        <v>PREDICCIONES DEL HORÓSCOPO CHINO PARA EL AÑO JABALÍ</v>
      </c>
      <c r="B140" s="272">
        <f ca="1">+B103</f>
        <v>2019</v>
      </c>
      <c r="C140" s="273"/>
      <c r="D140" s="40"/>
      <c r="E140" s="47" t="s">
        <v>100</v>
      </c>
      <c r="F140" s="48" t="s">
        <v>101</v>
      </c>
      <c r="G140" s="247" t="s">
        <v>102</v>
      </c>
      <c r="H140" s="247"/>
      <c r="I140" s="48" t="s">
        <v>103</v>
      </c>
      <c r="J140" s="50" t="s">
        <v>104</v>
      </c>
      <c r="K140" s="40"/>
      <c r="L140" s="40"/>
      <c r="M140" s="197"/>
      <c r="N140" s="40"/>
      <c r="O140" s="40"/>
      <c r="P140" s="265" t="s">
        <v>282</v>
      </c>
      <c r="Q140" s="443" t="str">
        <f ca="1">VLOOKUP(O143,'Predicción x Casa'!$A$1:$C$9,3)</f>
        <v>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v>
      </c>
      <c r="R140" s="444"/>
      <c r="S140" s="444"/>
      <c r="T140" s="444"/>
      <c r="U140" s="444"/>
      <c r="V140" s="444"/>
      <c r="W140" s="444"/>
      <c r="X140" s="444"/>
      <c r="Y140" s="444"/>
      <c r="Z140" s="444"/>
      <c r="AA140" s="444"/>
      <c r="AB140" s="444"/>
      <c r="AC140" s="444"/>
      <c r="AD140" s="444"/>
      <c r="AE140" s="444"/>
      <c r="AF140" s="444"/>
      <c r="AG140" s="444"/>
      <c r="AH140" s="444"/>
      <c r="AI140" s="444"/>
      <c r="AJ140" s="444"/>
      <c r="AK140" s="444"/>
      <c r="AL140" s="445"/>
      <c r="AM140" s="44"/>
    </row>
    <row r="141" spans="1:39" ht="15" customHeight="1" thickBot="1">
      <c r="A141" s="290"/>
      <c r="B141" s="274"/>
      <c r="C141" s="275"/>
      <c r="D141" s="40"/>
      <c r="E141" s="51" t="s">
        <v>105</v>
      </c>
      <c r="F141" s="52">
        <f ca="1">IF(G142-1&lt;1,9,G142-1)</f>
        <v>5</v>
      </c>
      <c r="G141" s="248">
        <f ca="1">IF(G143-1&lt;1,9,G143-1)</f>
        <v>1</v>
      </c>
      <c r="H141" s="248"/>
      <c r="I141" s="54">
        <f ca="1">IF(F142-1&lt;1,9,F142-1)</f>
        <v>3</v>
      </c>
      <c r="J141" s="55" t="s">
        <v>106</v>
      </c>
      <c r="K141" s="199" t="s">
        <v>289</v>
      </c>
      <c r="L141" s="40"/>
      <c r="M141" s="40"/>
      <c r="N141" s="40"/>
      <c r="O141" s="40"/>
      <c r="P141" s="266"/>
      <c r="Q141" s="446"/>
      <c r="R141" s="447"/>
      <c r="S141" s="447"/>
      <c r="T141" s="447"/>
      <c r="U141" s="447"/>
      <c r="V141" s="447"/>
      <c r="W141" s="447"/>
      <c r="X141" s="447"/>
      <c r="Y141" s="447"/>
      <c r="Z141" s="447"/>
      <c r="AA141" s="447"/>
      <c r="AB141" s="447"/>
      <c r="AC141" s="447"/>
      <c r="AD141" s="447"/>
      <c r="AE141" s="447"/>
      <c r="AF141" s="447"/>
      <c r="AG141" s="447"/>
      <c r="AH141" s="447"/>
      <c r="AI141" s="447"/>
      <c r="AJ141" s="447"/>
      <c r="AK141" s="447"/>
      <c r="AL141" s="448"/>
      <c r="AM141" s="44"/>
    </row>
    <row r="142" spans="1:39" ht="15" customHeight="1">
      <c r="A142" s="290"/>
      <c r="B142" s="274"/>
      <c r="C142" s="275"/>
      <c r="D142" s="40"/>
      <c r="E142" s="56" t="s">
        <v>107</v>
      </c>
      <c r="F142" s="57">
        <f ca="1">IF(F141-1&lt;1,9,F141-1)</f>
        <v>4</v>
      </c>
      <c r="G142" s="252">
        <f ca="1">+O142</f>
        <v>6</v>
      </c>
      <c r="H142" s="253"/>
      <c r="I142" s="58">
        <f ca="1">IF(F143-1&lt;1,9,F143-1)</f>
        <v>8</v>
      </c>
      <c r="J142" s="59" t="s">
        <v>108</v>
      </c>
      <c r="K142"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42" s="254" t="s">
        <v>288</v>
      </c>
      <c r="M142" s="255"/>
      <c r="N142" s="255"/>
      <c r="O142" s="201">
        <f ca="1">HLOOKUP(K142,'Cálculo de 2a. Estrella'!$Q$3:$Z$15,9)</f>
        <v>6</v>
      </c>
      <c r="P142" s="266"/>
      <c r="Q142" s="446"/>
      <c r="R142" s="447"/>
      <c r="S142" s="447"/>
      <c r="T142" s="447"/>
      <c r="U142" s="447"/>
      <c r="V142" s="447"/>
      <c r="W142" s="447"/>
      <c r="X142" s="447"/>
      <c r="Y142" s="447"/>
      <c r="Z142" s="447"/>
      <c r="AA142" s="447"/>
      <c r="AB142" s="447"/>
      <c r="AC142" s="447"/>
      <c r="AD142" s="447"/>
      <c r="AE142" s="447"/>
      <c r="AF142" s="447"/>
      <c r="AG142" s="447"/>
      <c r="AH142" s="447"/>
      <c r="AI142" s="447"/>
      <c r="AJ142" s="447"/>
      <c r="AK142" s="447"/>
      <c r="AL142" s="448"/>
      <c r="AM142" s="44"/>
    </row>
    <row r="143" spans="1:39" ht="15" customHeight="1" thickBot="1">
      <c r="A143" s="290"/>
      <c r="B143" s="274"/>
      <c r="C143" s="275"/>
      <c r="D143" s="40"/>
      <c r="E143" s="51" t="s">
        <v>109</v>
      </c>
      <c r="F143" s="60">
        <f ca="1">IF(G141-1&lt;1,9,G141-1)</f>
        <v>9</v>
      </c>
      <c r="G143" s="278">
        <f ca="1">IF(I141-1&lt;1,9,I141-1)</f>
        <v>2</v>
      </c>
      <c r="H143" s="278"/>
      <c r="I143" s="62">
        <f ca="1">IF(I142-1&lt;1,9,I142-1)</f>
        <v>7</v>
      </c>
      <c r="J143" s="55" t="s">
        <v>110</v>
      </c>
      <c r="K143" s="249" t="str">
        <f>CONCATENATE(TEXT($I$19,"##0")," Visita la casa ")</f>
        <v xml:space="preserve">2 Visita la casa </v>
      </c>
      <c r="L143" s="250"/>
      <c r="M143" s="250"/>
      <c r="N143" s="251"/>
      <c r="O143" s="202">
        <f ca="1">IF(F141-$I$19=0,4,IF(G141-$I$19=0,9,IF(I141-$I$19=0,2,IF(F142-$I$19=0,3,IF(G142-$I$19=0,5,IF(I142-$I$19=0,7,IF(F143-$I$19=0,8,IF(G143-$I$19=0,1,6))))))))</f>
        <v>1</v>
      </c>
      <c r="P143" s="266"/>
      <c r="Q143" s="446"/>
      <c r="R143" s="447"/>
      <c r="S143" s="447"/>
      <c r="T143" s="447"/>
      <c r="U143" s="447"/>
      <c r="V143" s="447"/>
      <c r="W143" s="447"/>
      <c r="X143" s="447"/>
      <c r="Y143" s="447"/>
      <c r="Z143" s="447"/>
      <c r="AA143" s="447"/>
      <c r="AB143" s="447"/>
      <c r="AC143" s="447"/>
      <c r="AD143" s="447"/>
      <c r="AE143" s="447"/>
      <c r="AF143" s="447"/>
      <c r="AG143" s="447"/>
      <c r="AH143" s="447"/>
      <c r="AI143" s="447"/>
      <c r="AJ143" s="447"/>
      <c r="AK143" s="447"/>
      <c r="AL143" s="448"/>
      <c r="AM143" s="44"/>
    </row>
    <row r="144" spans="1:39" ht="15" customHeight="1" thickBot="1">
      <c r="A144" s="290"/>
      <c r="B144" s="274"/>
      <c r="C144" s="275"/>
      <c r="D144" s="40"/>
      <c r="E144" s="63" t="s">
        <v>111</v>
      </c>
      <c r="F144" s="64" t="s">
        <v>112</v>
      </c>
      <c r="G144" s="292" t="s">
        <v>113</v>
      </c>
      <c r="H144" s="292"/>
      <c r="I144" s="64" t="s">
        <v>114</v>
      </c>
      <c r="J144" s="66" t="s">
        <v>115</v>
      </c>
      <c r="K144" s="40"/>
      <c r="L144" s="279"/>
      <c r="M144" s="279"/>
      <c r="N144" s="279"/>
      <c r="O144" s="40"/>
      <c r="P144" s="267"/>
      <c r="Q144" s="449"/>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1"/>
      <c r="AM144" s="44"/>
    </row>
    <row r="145" spans="1:39" ht="13.5" thickBot="1">
      <c r="A145" s="290"/>
      <c r="B145" s="274"/>
      <c r="C145" s="275"/>
      <c r="D145" s="40"/>
      <c r="E145" s="40"/>
      <c r="F145" s="40"/>
      <c r="G145" s="40"/>
      <c r="H145" s="40"/>
      <c r="I145" s="40"/>
      <c r="J145" s="40"/>
      <c r="K145" s="40"/>
      <c r="L145" s="279"/>
      <c r="M145" s="279"/>
      <c r="N145" s="279"/>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4"/>
    </row>
    <row r="146" spans="1:39" ht="15" customHeight="1" thickBot="1">
      <c r="A146" s="290"/>
      <c r="B146" s="274"/>
      <c r="C146" s="275"/>
      <c r="D146" s="40"/>
      <c r="E146" s="47" t="s">
        <v>100</v>
      </c>
      <c r="F146" s="48" t="s">
        <v>101</v>
      </c>
      <c r="G146" s="247" t="s">
        <v>102</v>
      </c>
      <c r="H146" s="247"/>
      <c r="I146" s="48" t="s">
        <v>103</v>
      </c>
      <c r="J146" s="50" t="s">
        <v>104</v>
      </c>
      <c r="K146" s="40"/>
      <c r="L146" s="40"/>
      <c r="M146" s="197"/>
      <c r="N146" s="40"/>
      <c r="O146" s="40"/>
      <c r="P146" s="265" t="s">
        <v>283</v>
      </c>
      <c r="Q146" s="443" t="str">
        <f ca="1">VLOOKUP(O149,'Predicción x Casa'!$A$1:$C$9,3)</f>
        <v>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v>
      </c>
      <c r="R146" s="444"/>
      <c r="S146" s="444"/>
      <c r="T146" s="444"/>
      <c r="U146" s="444"/>
      <c r="V146" s="444"/>
      <c r="W146" s="444"/>
      <c r="X146" s="444"/>
      <c r="Y146" s="444"/>
      <c r="Z146" s="444"/>
      <c r="AA146" s="444"/>
      <c r="AB146" s="444"/>
      <c r="AC146" s="444"/>
      <c r="AD146" s="444"/>
      <c r="AE146" s="444"/>
      <c r="AF146" s="444"/>
      <c r="AG146" s="444"/>
      <c r="AH146" s="444"/>
      <c r="AI146" s="444"/>
      <c r="AJ146" s="444"/>
      <c r="AK146" s="444"/>
      <c r="AL146" s="445"/>
      <c r="AM146" s="44"/>
    </row>
    <row r="147" spans="1:39" ht="15" customHeight="1" thickBot="1">
      <c r="A147" s="290"/>
      <c r="B147" s="274"/>
      <c r="C147" s="275"/>
      <c r="D147" s="40"/>
      <c r="E147" s="51" t="s">
        <v>105</v>
      </c>
      <c r="F147" s="52">
        <f ca="1">IF(G148-1&lt;1,9,G148-1)</f>
        <v>4</v>
      </c>
      <c r="G147" s="248">
        <f ca="1">IF(G149-1&lt;1,9,G149-1)</f>
        <v>9</v>
      </c>
      <c r="H147" s="248"/>
      <c r="I147" s="54">
        <f ca="1">IF(F148-1&lt;1,9,F148-1)</f>
        <v>2</v>
      </c>
      <c r="J147" s="55" t="s">
        <v>106</v>
      </c>
      <c r="K147" s="199" t="s">
        <v>289</v>
      </c>
      <c r="L147" s="40"/>
      <c r="M147" s="40"/>
      <c r="N147" s="40"/>
      <c r="O147" s="40"/>
      <c r="P147" s="266"/>
      <c r="Q147" s="446"/>
      <c r="R147" s="447"/>
      <c r="S147" s="447"/>
      <c r="T147" s="447"/>
      <c r="U147" s="447"/>
      <c r="V147" s="447"/>
      <c r="W147" s="447"/>
      <c r="X147" s="447"/>
      <c r="Y147" s="447"/>
      <c r="Z147" s="447"/>
      <c r="AA147" s="447"/>
      <c r="AB147" s="447"/>
      <c r="AC147" s="447"/>
      <c r="AD147" s="447"/>
      <c r="AE147" s="447"/>
      <c r="AF147" s="447"/>
      <c r="AG147" s="447"/>
      <c r="AH147" s="447"/>
      <c r="AI147" s="447"/>
      <c r="AJ147" s="447"/>
      <c r="AK147" s="447"/>
      <c r="AL147" s="448"/>
      <c r="AM147" s="44"/>
    </row>
    <row r="148" spans="1:39" ht="15" customHeight="1">
      <c r="A148" s="290"/>
      <c r="B148" s="274"/>
      <c r="C148" s="275"/>
      <c r="D148" s="40"/>
      <c r="E148" s="56" t="s">
        <v>107</v>
      </c>
      <c r="F148" s="57">
        <f ca="1">IF(F147-1&lt;1,9,F147-1)</f>
        <v>3</v>
      </c>
      <c r="G148" s="252">
        <f ca="1">+O148</f>
        <v>5</v>
      </c>
      <c r="H148" s="253"/>
      <c r="I148" s="58">
        <f ca="1">IF(F149-1&lt;1,9,F149-1)</f>
        <v>7</v>
      </c>
      <c r="J148" s="59" t="s">
        <v>108</v>
      </c>
      <c r="K148"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48" s="254" t="s">
        <v>288</v>
      </c>
      <c r="M148" s="255"/>
      <c r="N148" s="255"/>
      <c r="O148" s="201">
        <f ca="1">HLOOKUP(K148,'Cálculo de 2a. Estrella'!$Q$3:$Z$15,10)</f>
        <v>5</v>
      </c>
      <c r="P148" s="266"/>
      <c r="Q148" s="446"/>
      <c r="R148" s="447"/>
      <c r="S148" s="447"/>
      <c r="T148" s="447"/>
      <c r="U148" s="447"/>
      <c r="V148" s="447"/>
      <c r="W148" s="447"/>
      <c r="X148" s="447"/>
      <c r="Y148" s="447"/>
      <c r="Z148" s="447"/>
      <c r="AA148" s="447"/>
      <c r="AB148" s="447"/>
      <c r="AC148" s="447"/>
      <c r="AD148" s="447"/>
      <c r="AE148" s="447"/>
      <c r="AF148" s="447"/>
      <c r="AG148" s="447"/>
      <c r="AH148" s="447"/>
      <c r="AI148" s="447"/>
      <c r="AJ148" s="447"/>
      <c r="AK148" s="447"/>
      <c r="AL148" s="448"/>
      <c r="AM148" s="44"/>
    </row>
    <row r="149" spans="1:39" ht="15" customHeight="1" thickBot="1">
      <c r="A149" s="290"/>
      <c r="B149" s="274"/>
      <c r="C149" s="275"/>
      <c r="D149" s="40"/>
      <c r="E149" s="51" t="s">
        <v>109</v>
      </c>
      <c r="F149" s="60">
        <f ca="1">IF(G147-1&lt;1,9,G147-1)</f>
        <v>8</v>
      </c>
      <c r="G149" s="278">
        <f ca="1">IF(I147-1&lt;1,9,I147-1)</f>
        <v>1</v>
      </c>
      <c r="H149" s="278"/>
      <c r="I149" s="62">
        <f ca="1">IF(I148-1&lt;1,9,I148-1)</f>
        <v>6</v>
      </c>
      <c r="J149" s="55" t="s">
        <v>110</v>
      </c>
      <c r="K149" s="249" t="str">
        <f>CONCATENATE(TEXT($I$19,"##0")," Visita la casa ")</f>
        <v xml:space="preserve">2 Visita la casa </v>
      </c>
      <c r="L149" s="250"/>
      <c r="M149" s="250"/>
      <c r="N149" s="251"/>
      <c r="O149" s="202">
        <f ca="1">IF(F147-$I$19=0,4,IF(G147-$I$19=0,9,IF(I147-$I$19=0,2,IF(F148-$I$19=0,3,IF(G148-$I$19=0,5,IF(I148-$I$19=0,7,IF(F149-$I$19=0,8,IF(G149-$I$19=0,1,6))))))))</f>
        <v>2</v>
      </c>
      <c r="P149" s="266"/>
      <c r="Q149" s="446"/>
      <c r="R149" s="447"/>
      <c r="S149" s="447"/>
      <c r="T149" s="447"/>
      <c r="U149" s="447"/>
      <c r="V149" s="447"/>
      <c r="W149" s="447"/>
      <c r="X149" s="447"/>
      <c r="Y149" s="447"/>
      <c r="Z149" s="447"/>
      <c r="AA149" s="447"/>
      <c r="AB149" s="447"/>
      <c r="AC149" s="447"/>
      <c r="AD149" s="447"/>
      <c r="AE149" s="447"/>
      <c r="AF149" s="447"/>
      <c r="AG149" s="447"/>
      <c r="AH149" s="447"/>
      <c r="AI149" s="447"/>
      <c r="AJ149" s="447"/>
      <c r="AK149" s="447"/>
      <c r="AL149" s="448"/>
      <c r="AM149" s="44"/>
    </row>
    <row r="150" spans="1:39" ht="15" customHeight="1" thickBot="1">
      <c r="A150" s="290"/>
      <c r="B150" s="274"/>
      <c r="C150" s="275"/>
      <c r="D150" s="40"/>
      <c r="E150" s="63" t="s">
        <v>111</v>
      </c>
      <c r="F150" s="64" t="s">
        <v>112</v>
      </c>
      <c r="G150" s="292" t="s">
        <v>113</v>
      </c>
      <c r="H150" s="292"/>
      <c r="I150" s="64" t="s">
        <v>114</v>
      </c>
      <c r="J150" s="66" t="s">
        <v>115</v>
      </c>
      <c r="K150" s="40"/>
      <c r="L150" s="279"/>
      <c r="M150" s="279"/>
      <c r="N150" s="279"/>
      <c r="O150" s="40"/>
      <c r="P150" s="267"/>
      <c r="Q150" s="449"/>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1"/>
      <c r="AM150" s="44"/>
    </row>
    <row r="151" spans="1:39" ht="13.5" thickBot="1">
      <c r="A151" s="290"/>
      <c r="B151" s="274"/>
      <c r="C151" s="275"/>
      <c r="D151" s="40"/>
      <c r="E151" s="40"/>
      <c r="F151" s="40"/>
      <c r="G151" s="40"/>
      <c r="H151" s="40"/>
      <c r="I151" s="40"/>
      <c r="J151" s="40"/>
      <c r="K151" s="40"/>
      <c r="L151" s="279"/>
      <c r="M151" s="279"/>
      <c r="N151" s="279"/>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4"/>
    </row>
    <row r="152" spans="1:39" ht="15" customHeight="1" thickBot="1">
      <c r="A152" s="290"/>
      <c r="B152" s="274"/>
      <c r="C152" s="275"/>
      <c r="D152" s="40"/>
      <c r="E152" s="47" t="s">
        <v>100</v>
      </c>
      <c r="F152" s="48" t="s">
        <v>101</v>
      </c>
      <c r="G152" s="247" t="s">
        <v>102</v>
      </c>
      <c r="H152" s="247"/>
      <c r="I152" s="48" t="s">
        <v>103</v>
      </c>
      <c r="J152" s="50" t="s">
        <v>104</v>
      </c>
      <c r="K152" s="40"/>
      <c r="L152" s="40"/>
      <c r="M152" s="197"/>
      <c r="N152" s="40"/>
      <c r="O152" s="40"/>
      <c r="P152" s="265" t="s">
        <v>284</v>
      </c>
      <c r="Q152" s="443" t="str">
        <f ca="1">VLOOKUP(O155,'Predicción x Casa'!$A$1:$C$9,3)</f>
        <v>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v>
      </c>
      <c r="R152" s="444"/>
      <c r="S152" s="444"/>
      <c r="T152" s="444"/>
      <c r="U152" s="444"/>
      <c r="V152" s="444"/>
      <c r="W152" s="444"/>
      <c r="X152" s="444"/>
      <c r="Y152" s="444"/>
      <c r="Z152" s="444"/>
      <c r="AA152" s="444"/>
      <c r="AB152" s="444"/>
      <c r="AC152" s="444"/>
      <c r="AD152" s="444"/>
      <c r="AE152" s="444"/>
      <c r="AF152" s="444"/>
      <c r="AG152" s="444"/>
      <c r="AH152" s="444"/>
      <c r="AI152" s="444"/>
      <c r="AJ152" s="444"/>
      <c r="AK152" s="444"/>
      <c r="AL152" s="445"/>
      <c r="AM152" s="44"/>
    </row>
    <row r="153" spans="1:39" ht="15" customHeight="1" thickBot="1">
      <c r="A153" s="290"/>
      <c r="B153" s="274"/>
      <c r="C153" s="275"/>
      <c r="D153" s="40"/>
      <c r="E153" s="51" t="s">
        <v>105</v>
      </c>
      <c r="F153" s="52">
        <f ca="1">IF(G154-1&lt;1,9,G154-1)</f>
        <v>3</v>
      </c>
      <c r="G153" s="248">
        <f ca="1">IF(G155-1&lt;1,9,G155-1)</f>
        <v>8</v>
      </c>
      <c r="H153" s="248"/>
      <c r="I153" s="54">
        <f ca="1">IF(F154-1&lt;1,9,F154-1)</f>
        <v>1</v>
      </c>
      <c r="J153" s="55" t="s">
        <v>106</v>
      </c>
      <c r="K153" s="199" t="s">
        <v>289</v>
      </c>
      <c r="L153" s="40"/>
      <c r="M153" s="40"/>
      <c r="N153" s="40"/>
      <c r="O153" s="40"/>
      <c r="P153" s="266"/>
      <c r="Q153" s="446"/>
      <c r="R153" s="447"/>
      <c r="S153" s="447"/>
      <c r="T153" s="447"/>
      <c r="U153" s="447"/>
      <c r="V153" s="447"/>
      <c r="W153" s="447"/>
      <c r="X153" s="447"/>
      <c r="Y153" s="447"/>
      <c r="Z153" s="447"/>
      <c r="AA153" s="447"/>
      <c r="AB153" s="447"/>
      <c r="AC153" s="447"/>
      <c r="AD153" s="447"/>
      <c r="AE153" s="447"/>
      <c r="AF153" s="447"/>
      <c r="AG153" s="447"/>
      <c r="AH153" s="447"/>
      <c r="AI153" s="447"/>
      <c r="AJ153" s="447"/>
      <c r="AK153" s="447"/>
      <c r="AL153" s="448"/>
      <c r="AM153" s="44"/>
    </row>
    <row r="154" spans="1:39" ht="15" customHeight="1">
      <c r="A154" s="290"/>
      <c r="B154" s="274"/>
      <c r="C154" s="275"/>
      <c r="D154" s="40"/>
      <c r="E154" s="56" t="s">
        <v>107</v>
      </c>
      <c r="F154" s="57">
        <f ca="1">IF(F153-1&lt;1,9,F153-1)</f>
        <v>2</v>
      </c>
      <c r="G154" s="252">
        <f ca="1">+O154</f>
        <v>4</v>
      </c>
      <c r="H154" s="253"/>
      <c r="I154" s="58">
        <f ca="1">IF(F155-1&lt;1,9,F155-1)</f>
        <v>6</v>
      </c>
      <c r="J154" s="59" t="s">
        <v>108</v>
      </c>
      <c r="K154"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54" s="254" t="s">
        <v>288</v>
      </c>
      <c r="M154" s="255"/>
      <c r="N154" s="255"/>
      <c r="O154" s="201">
        <f ca="1">HLOOKUP(K154,'Cálculo de 2a. Estrella'!$Q$3:$Z$15,11)</f>
        <v>4</v>
      </c>
      <c r="P154" s="266"/>
      <c r="Q154" s="446"/>
      <c r="R154" s="447"/>
      <c r="S154" s="447"/>
      <c r="T154" s="447"/>
      <c r="U154" s="447"/>
      <c r="V154" s="447"/>
      <c r="W154" s="447"/>
      <c r="X154" s="447"/>
      <c r="Y154" s="447"/>
      <c r="Z154" s="447"/>
      <c r="AA154" s="447"/>
      <c r="AB154" s="447"/>
      <c r="AC154" s="447"/>
      <c r="AD154" s="447"/>
      <c r="AE154" s="447"/>
      <c r="AF154" s="447"/>
      <c r="AG154" s="447"/>
      <c r="AH154" s="447"/>
      <c r="AI154" s="447"/>
      <c r="AJ154" s="447"/>
      <c r="AK154" s="447"/>
      <c r="AL154" s="448"/>
      <c r="AM154" s="44"/>
    </row>
    <row r="155" spans="1:39" ht="15" customHeight="1" thickBot="1">
      <c r="A155" s="290"/>
      <c r="B155" s="274"/>
      <c r="C155" s="275"/>
      <c r="D155" s="40"/>
      <c r="E155" s="51" t="s">
        <v>109</v>
      </c>
      <c r="F155" s="60">
        <f ca="1">IF(G153-1&lt;1,9,G153-1)</f>
        <v>7</v>
      </c>
      <c r="G155" s="278">
        <f ca="1">IF(I153-1&lt;1,9,I153-1)</f>
        <v>9</v>
      </c>
      <c r="H155" s="278"/>
      <c r="I155" s="62">
        <f ca="1">IF(I154-1&lt;1,9,I154-1)</f>
        <v>5</v>
      </c>
      <c r="J155" s="55" t="s">
        <v>110</v>
      </c>
      <c r="K155" s="249" t="str">
        <f>CONCATENATE(TEXT($I$19,"##0")," Visita la casa ")</f>
        <v xml:space="preserve">2 Visita la casa </v>
      </c>
      <c r="L155" s="250"/>
      <c r="M155" s="250"/>
      <c r="N155" s="251"/>
      <c r="O155" s="202">
        <f ca="1">IF(F153-$I$19=0,4,IF(G153-$I$19=0,9,IF(I153-$I$19=0,2,IF(F154-$I$19=0,3,IF(G154-$I$19=0,5,IF(I154-$I$19=0,7,IF(F155-$I$19=0,8,IF(G155-$I$19=0,1,6))))))))</f>
        <v>3</v>
      </c>
      <c r="P155" s="266"/>
      <c r="Q155" s="446"/>
      <c r="R155" s="447"/>
      <c r="S155" s="447"/>
      <c r="T155" s="447"/>
      <c r="U155" s="447"/>
      <c r="V155" s="447"/>
      <c r="W155" s="447"/>
      <c r="X155" s="447"/>
      <c r="Y155" s="447"/>
      <c r="Z155" s="447"/>
      <c r="AA155" s="447"/>
      <c r="AB155" s="447"/>
      <c r="AC155" s="447"/>
      <c r="AD155" s="447"/>
      <c r="AE155" s="447"/>
      <c r="AF155" s="447"/>
      <c r="AG155" s="447"/>
      <c r="AH155" s="447"/>
      <c r="AI155" s="447"/>
      <c r="AJ155" s="447"/>
      <c r="AK155" s="447"/>
      <c r="AL155" s="448"/>
      <c r="AM155" s="44"/>
    </row>
    <row r="156" spans="1:39" ht="15" customHeight="1" thickBot="1">
      <c r="A156" s="290"/>
      <c r="B156" s="274"/>
      <c r="C156" s="275"/>
      <c r="D156" s="40"/>
      <c r="E156" s="63" t="s">
        <v>111</v>
      </c>
      <c r="F156" s="64" t="s">
        <v>112</v>
      </c>
      <c r="G156" s="292" t="s">
        <v>113</v>
      </c>
      <c r="H156" s="292"/>
      <c r="I156" s="64" t="s">
        <v>114</v>
      </c>
      <c r="J156" s="66" t="s">
        <v>115</v>
      </c>
      <c r="K156" s="40"/>
      <c r="L156" s="279"/>
      <c r="M156" s="279"/>
      <c r="N156" s="279"/>
      <c r="O156" s="40"/>
      <c r="P156" s="267"/>
      <c r="Q156" s="449"/>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1"/>
      <c r="AM156" s="44"/>
    </row>
    <row r="157" spans="1:39" ht="13.5" thickBot="1">
      <c r="A157" s="290"/>
      <c r="B157" s="274"/>
      <c r="C157" s="275"/>
      <c r="D157" s="40"/>
      <c r="E157" s="40"/>
      <c r="F157" s="40"/>
      <c r="G157" s="40"/>
      <c r="H157" s="40"/>
      <c r="I157" s="40"/>
      <c r="J157" s="40"/>
      <c r="K157" s="40"/>
      <c r="L157" s="279"/>
      <c r="M157" s="279"/>
      <c r="N157" s="279"/>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4"/>
    </row>
    <row r="158" spans="1:39" ht="15" customHeight="1" thickBot="1">
      <c r="A158" s="290"/>
      <c r="B158" s="274"/>
      <c r="C158" s="275"/>
      <c r="D158" s="40"/>
      <c r="E158" s="47" t="s">
        <v>100</v>
      </c>
      <c r="F158" s="48" t="s">
        <v>101</v>
      </c>
      <c r="G158" s="247" t="s">
        <v>102</v>
      </c>
      <c r="H158" s="247"/>
      <c r="I158" s="48" t="s">
        <v>103</v>
      </c>
      <c r="J158" s="50" t="s">
        <v>104</v>
      </c>
      <c r="K158" s="40"/>
      <c r="L158" s="40"/>
      <c r="M158" s="197"/>
      <c r="N158" s="40"/>
      <c r="O158" s="40"/>
      <c r="P158" s="265" t="s">
        <v>285</v>
      </c>
      <c r="Q158" s="443" t="str">
        <f ca="1">VLOOKUP(O161,'Predicción x Casa'!$A$1:$C$9,3)</f>
        <v>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v>
      </c>
      <c r="R158" s="444"/>
      <c r="S158" s="444"/>
      <c r="T158" s="444"/>
      <c r="U158" s="444"/>
      <c r="V158" s="444"/>
      <c r="W158" s="444"/>
      <c r="X158" s="444"/>
      <c r="Y158" s="444"/>
      <c r="Z158" s="444"/>
      <c r="AA158" s="444"/>
      <c r="AB158" s="444"/>
      <c r="AC158" s="444"/>
      <c r="AD158" s="444"/>
      <c r="AE158" s="444"/>
      <c r="AF158" s="444"/>
      <c r="AG158" s="444"/>
      <c r="AH158" s="444"/>
      <c r="AI158" s="444"/>
      <c r="AJ158" s="444"/>
      <c r="AK158" s="444"/>
      <c r="AL158" s="445"/>
      <c r="AM158" s="44"/>
    </row>
    <row r="159" spans="1:39" ht="15" customHeight="1" thickBot="1">
      <c r="A159" s="290"/>
      <c r="B159" s="274"/>
      <c r="C159" s="275"/>
      <c r="D159" s="40"/>
      <c r="E159" s="51" t="s">
        <v>105</v>
      </c>
      <c r="F159" s="52">
        <f ca="1">IF(G160-1&lt;1,9,G160-1)</f>
        <v>2</v>
      </c>
      <c r="G159" s="248">
        <f ca="1">IF(G161-1&lt;1,9,G161-1)</f>
        <v>7</v>
      </c>
      <c r="H159" s="248"/>
      <c r="I159" s="54">
        <f ca="1">IF(F160-1&lt;1,9,F160-1)</f>
        <v>9</v>
      </c>
      <c r="J159" s="55" t="s">
        <v>106</v>
      </c>
      <c r="K159" s="199" t="s">
        <v>289</v>
      </c>
      <c r="L159" s="40"/>
      <c r="M159" s="40"/>
      <c r="N159" s="40"/>
      <c r="O159" s="40"/>
      <c r="P159" s="266"/>
      <c r="Q159" s="446"/>
      <c r="R159" s="447"/>
      <c r="S159" s="447"/>
      <c r="T159" s="447"/>
      <c r="U159" s="447"/>
      <c r="V159" s="447"/>
      <c r="W159" s="447"/>
      <c r="X159" s="447"/>
      <c r="Y159" s="447"/>
      <c r="Z159" s="447"/>
      <c r="AA159" s="447"/>
      <c r="AB159" s="447"/>
      <c r="AC159" s="447"/>
      <c r="AD159" s="447"/>
      <c r="AE159" s="447"/>
      <c r="AF159" s="447"/>
      <c r="AG159" s="447"/>
      <c r="AH159" s="447"/>
      <c r="AI159" s="447"/>
      <c r="AJ159" s="447"/>
      <c r="AK159" s="447"/>
      <c r="AL159" s="448"/>
      <c r="AM159" s="44"/>
    </row>
    <row r="160" spans="1:39" ht="15" customHeight="1">
      <c r="A160" s="290"/>
      <c r="B160" s="274"/>
      <c r="C160" s="275"/>
      <c r="D160" s="40"/>
      <c r="E160" s="56" t="s">
        <v>107</v>
      </c>
      <c r="F160" s="57">
        <f ca="1">IF(F159-1&lt;1,9,F159-1)</f>
        <v>1</v>
      </c>
      <c r="G160" s="252">
        <f ca="1">+O160</f>
        <v>3</v>
      </c>
      <c r="H160" s="253"/>
      <c r="I160" s="58">
        <f ca="1">IF(F161-1&lt;1,9,F161-1)</f>
        <v>5</v>
      </c>
      <c r="J160" s="59" t="s">
        <v>108</v>
      </c>
      <c r="K160"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60" s="254" t="s">
        <v>288</v>
      </c>
      <c r="M160" s="255"/>
      <c r="N160" s="255"/>
      <c r="O160" s="201">
        <f ca="1">HLOOKUP(K160,'Cálculo de 2a. Estrella'!$Q$3:$Z$15,12)</f>
        <v>3</v>
      </c>
      <c r="P160" s="266"/>
      <c r="Q160" s="446"/>
      <c r="R160" s="447"/>
      <c r="S160" s="447"/>
      <c r="T160" s="447"/>
      <c r="U160" s="447"/>
      <c r="V160" s="447"/>
      <c r="W160" s="447"/>
      <c r="X160" s="447"/>
      <c r="Y160" s="447"/>
      <c r="Z160" s="447"/>
      <c r="AA160" s="447"/>
      <c r="AB160" s="447"/>
      <c r="AC160" s="447"/>
      <c r="AD160" s="447"/>
      <c r="AE160" s="447"/>
      <c r="AF160" s="447"/>
      <c r="AG160" s="447"/>
      <c r="AH160" s="447"/>
      <c r="AI160" s="447"/>
      <c r="AJ160" s="447"/>
      <c r="AK160" s="447"/>
      <c r="AL160" s="448"/>
      <c r="AM160" s="44"/>
    </row>
    <row r="161" spans="1:39" ht="15" customHeight="1" thickBot="1">
      <c r="A161" s="290"/>
      <c r="B161" s="274"/>
      <c r="C161" s="275"/>
      <c r="D161" s="40"/>
      <c r="E161" s="51" t="s">
        <v>109</v>
      </c>
      <c r="F161" s="60">
        <f ca="1">IF(G159-1&lt;1,9,G159-1)</f>
        <v>6</v>
      </c>
      <c r="G161" s="278">
        <f ca="1">IF(I159-1&lt;1,9,I159-1)</f>
        <v>8</v>
      </c>
      <c r="H161" s="278"/>
      <c r="I161" s="62">
        <f ca="1">IF(I160-1&lt;1,9,I160-1)</f>
        <v>4</v>
      </c>
      <c r="J161" s="55" t="s">
        <v>110</v>
      </c>
      <c r="K161" s="249" t="str">
        <f>CONCATENATE(TEXT($I$19,"##0")," Visita la casa ")</f>
        <v xml:space="preserve">2 Visita la casa </v>
      </c>
      <c r="L161" s="250"/>
      <c r="M161" s="250"/>
      <c r="N161" s="251"/>
      <c r="O161" s="202">
        <f ca="1">IF(F159-$I$19=0,4,IF(G159-$I$19=0,9,IF(I159-$I$19=0,2,IF(F160-$I$19=0,3,IF(G160-$I$19=0,5,IF(I160-$I$19=0,7,IF(F161-$I$19=0,8,IF(G161-$I$19=0,1,6))))))))</f>
        <v>4</v>
      </c>
      <c r="P161" s="266"/>
      <c r="Q161" s="446"/>
      <c r="R161" s="447"/>
      <c r="S161" s="447"/>
      <c r="T161" s="447"/>
      <c r="U161" s="447"/>
      <c r="V161" s="447"/>
      <c r="W161" s="447"/>
      <c r="X161" s="447"/>
      <c r="Y161" s="447"/>
      <c r="Z161" s="447"/>
      <c r="AA161" s="447"/>
      <c r="AB161" s="447"/>
      <c r="AC161" s="447"/>
      <c r="AD161" s="447"/>
      <c r="AE161" s="447"/>
      <c r="AF161" s="447"/>
      <c r="AG161" s="447"/>
      <c r="AH161" s="447"/>
      <c r="AI161" s="447"/>
      <c r="AJ161" s="447"/>
      <c r="AK161" s="447"/>
      <c r="AL161" s="448"/>
      <c r="AM161" s="44"/>
    </row>
    <row r="162" spans="1:39" ht="15" customHeight="1" thickBot="1">
      <c r="A162" s="290"/>
      <c r="B162" s="274"/>
      <c r="C162" s="275"/>
      <c r="D162" s="40"/>
      <c r="E162" s="63" t="s">
        <v>111</v>
      </c>
      <c r="F162" s="64" t="s">
        <v>112</v>
      </c>
      <c r="G162" s="292" t="s">
        <v>113</v>
      </c>
      <c r="H162" s="292"/>
      <c r="I162" s="64" t="s">
        <v>114</v>
      </c>
      <c r="J162" s="66" t="s">
        <v>115</v>
      </c>
      <c r="K162" s="40"/>
      <c r="L162" s="279"/>
      <c r="M162" s="279"/>
      <c r="N162" s="279"/>
      <c r="O162" s="40"/>
      <c r="P162" s="267"/>
      <c r="Q162" s="449"/>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1"/>
      <c r="AM162" s="44"/>
    </row>
    <row r="163" spans="1:39" ht="13.5" thickBot="1">
      <c r="A163" s="290"/>
      <c r="B163" s="274"/>
      <c r="C163" s="275"/>
      <c r="D163" s="40"/>
      <c r="E163" s="40"/>
      <c r="F163" s="40"/>
      <c r="G163" s="40"/>
      <c r="H163" s="40"/>
      <c r="I163" s="40"/>
      <c r="J163" s="40"/>
      <c r="K163" s="40"/>
      <c r="L163" s="279"/>
      <c r="M163" s="279"/>
      <c r="N163" s="279"/>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4"/>
    </row>
    <row r="164" spans="1:39" ht="15" customHeight="1" thickBot="1">
      <c r="A164" s="290"/>
      <c r="B164" s="274"/>
      <c r="C164" s="275"/>
      <c r="D164" s="40"/>
      <c r="E164" s="47" t="s">
        <v>100</v>
      </c>
      <c r="F164" s="48" t="s">
        <v>101</v>
      </c>
      <c r="G164" s="247" t="s">
        <v>102</v>
      </c>
      <c r="H164" s="247"/>
      <c r="I164" s="48" t="s">
        <v>103</v>
      </c>
      <c r="J164" s="50" t="s">
        <v>104</v>
      </c>
      <c r="K164" s="40"/>
      <c r="L164" s="40"/>
      <c r="M164" s="197"/>
      <c r="N164" s="40"/>
      <c r="O164" s="40"/>
      <c r="P164" s="256" t="s">
        <v>286</v>
      </c>
      <c r="Q164" s="443" t="str">
        <f ca="1">VLOOKUP(O167,'Predicción x Casa'!$A$1:$C$9,3)</f>
        <v>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v>
      </c>
      <c r="R164" s="444"/>
      <c r="S164" s="444"/>
      <c r="T164" s="444"/>
      <c r="U164" s="444"/>
      <c r="V164" s="444"/>
      <c r="W164" s="444"/>
      <c r="X164" s="444"/>
      <c r="Y164" s="444"/>
      <c r="Z164" s="444"/>
      <c r="AA164" s="444"/>
      <c r="AB164" s="444"/>
      <c r="AC164" s="444"/>
      <c r="AD164" s="444"/>
      <c r="AE164" s="444"/>
      <c r="AF164" s="444"/>
      <c r="AG164" s="444"/>
      <c r="AH164" s="444"/>
      <c r="AI164" s="444"/>
      <c r="AJ164" s="444"/>
      <c r="AK164" s="444"/>
      <c r="AL164" s="445"/>
      <c r="AM164" s="44"/>
    </row>
    <row r="165" spans="1:39" ht="15" customHeight="1" thickBot="1">
      <c r="A165" s="290"/>
      <c r="B165" s="274"/>
      <c r="C165" s="275"/>
      <c r="D165" s="40"/>
      <c r="E165" s="51" t="s">
        <v>105</v>
      </c>
      <c r="F165" s="52">
        <f ca="1">IF(G166-1&lt;1,9,G166-1)</f>
        <v>1</v>
      </c>
      <c r="G165" s="248">
        <f ca="1">IF(G167-1&lt;1,9,G167-1)</f>
        <v>6</v>
      </c>
      <c r="H165" s="248"/>
      <c r="I165" s="54">
        <f ca="1">IF(F166-1&lt;1,9,F166-1)</f>
        <v>8</v>
      </c>
      <c r="J165" s="55" t="s">
        <v>106</v>
      </c>
      <c r="K165" s="199" t="s">
        <v>289</v>
      </c>
      <c r="L165" s="40"/>
      <c r="M165" s="40"/>
      <c r="N165" s="40"/>
      <c r="O165" s="40"/>
      <c r="P165" s="257"/>
      <c r="Q165" s="446"/>
      <c r="R165" s="447"/>
      <c r="S165" s="447"/>
      <c r="T165" s="447"/>
      <c r="U165" s="447"/>
      <c r="V165" s="447"/>
      <c r="W165" s="447"/>
      <c r="X165" s="447"/>
      <c r="Y165" s="447"/>
      <c r="Z165" s="447"/>
      <c r="AA165" s="447"/>
      <c r="AB165" s="447"/>
      <c r="AC165" s="447"/>
      <c r="AD165" s="447"/>
      <c r="AE165" s="447"/>
      <c r="AF165" s="447"/>
      <c r="AG165" s="447"/>
      <c r="AH165" s="447"/>
      <c r="AI165" s="447"/>
      <c r="AJ165" s="447"/>
      <c r="AK165" s="447"/>
      <c r="AL165" s="448"/>
      <c r="AM165" s="44"/>
    </row>
    <row r="166" spans="1:39" ht="15" customHeight="1">
      <c r="A166" s="290"/>
      <c r="B166" s="274"/>
      <c r="C166" s="275"/>
      <c r="D166" s="40"/>
      <c r="E166" s="56" t="s">
        <v>107</v>
      </c>
      <c r="F166" s="57">
        <f ca="1">IF(F165-1&lt;1,9,F165-1)</f>
        <v>9</v>
      </c>
      <c r="G166" s="252">
        <f ca="1">+O166</f>
        <v>2</v>
      </c>
      <c r="H166" s="253"/>
      <c r="I166" s="58">
        <f ca="1">IF(F167-1&lt;1,9,F167-1)</f>
        <v>4</v>
      </c>
      <c r="J166" s="59" t="s">
        <v>108</v>
      </c>
      <c r="K166"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66" s="254" t="s">
        <v>288</v>
      </c>
      <c r="M166" s="255"/>
      <c r="N166" s="255"/>
      <c r="O166" s="201">
        <f ca="1">HLOOKUP(K166,'Cálculo de 2a. Estrella'!$Q$3:$Z$15,13)</f>
        <v>2</v>
      </c>
      <c r="P166" s="257"/>
      <c r="Q166" s="446"/>
      <c r="R166" s="447"/>
      <c r="S166" s="447"/>
      <c r="T166" s="447"/>
      <c r="U166" s="447"/>
      <c r="V166" s="447"/>
      <c r="W166" s="447"/>
      <c r="X166" s="447"/>
      <c r="Y166" s="447"/>
      <c r="Z166" s="447"/>
      <c r="AA166" s="447"/>
      <c r="AB166" s="447"/>
      <c r="AC166" s="447"/>
      <c r="AD166" s="447"/>
      <c r="AE166" s="447"/>
      <c r="AF166" s="447"/>
      <c r="AG166" s="447"/>
      <c r="AH166" s="447"/>
      <c r="AI166" s="447"/>
      <c r="AJ166" s="447"/>
      <c r="AK166" s="447"/>
      <c r="AL166" s="448"/>
      <c r="AM166" s="44"/>
    </row>
    <row r="167" spans="1:39" ht="15" customHeight="1" thickBot="1">
      <c r="A167" s="290"/>
      <c r="B167" s="274"/>
      <c r="C167" s="275"/>
      <c r="D167" s="40"/>
      <c r="E167" s="51" t="s">
        <v>109</v>
      </c>
      <c r="F167" s="60">
        <f ca="1">IF(G165-1&lt;1,9,G165-1)</f>
        <v>5</v>
      </c>
      <c r="G167" s="278">
        <f ca="1">IF(I165-1&lt;1,9,I165-1)</f>
        <v>7</v>
      </c>
      <c r="H167" s="278"/>
      <c r="I167" s="62">
        <f ca="1">IF(I166-1&lt;1,9,I166-1)</f>
        <v>3</v>
      </c>
      <c r="J167" s="55" t="s">
        <v>110</v>
      </c>
      <c r="K167" s="249" t="str">
        <f>CONCATENATE(TEXT($I$19,"##0")," Visita la casa ")</f>
        <v xml:space="preserve">2 Visita la casa </v>
      </c>
      <c r="L167" s="250"/>
      <c r="M167" s="250"/>
      <c r="N167" s="251"/>
      <c r="O167" s="202">
        <f ca="1">IF(F165-$I$19=0,4,IF(G165-$I$19=0,9,IF(I165-$I$19=0,2,IF(F166-$I$19=0,3,IF(G166-$I$19=0,5,IF(I166-$I$19=0,7,IF(F167-$I$19=0,8,IF(G167-$I$19=0,1,6))))))))</f>
        <v>5</v>
      </c>
      <c r="P167" s="257"/>
      <c r="Q167" s="446"/>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8"/>
      <c r="AM167" s="44"/>
    </row>
    <row r="168" spans="1:39" ht="15" customHeight="1" thickBot="1">
      <c r="A168" s="290"/>
      <c r="B168" s="274"/>
      <c r="C168" s="275"/>
      <c r="D168" s="40"/>
      <c r="E168" s="63" t="s">
        <v>111</v>
      </c>
      <c r="F168" s="64" t="s">
        <v>112</v>
      </c>
      <c r="G168" s="292" t="s">
        <v>113</v>
      </c>
      <c r="H168" s="292"/>
      <c r="I168" s="64" t="s">
        <v>114</v>
      </c>
      <c r="J168" s="66" t="s">
        <v>115</v>
      </c>
      <c r="K168" s="40"/>
      <c r="L168" s="279"/>
      <c r="M168" s="279"/>
      <c r="N168" s="279"/>
      <c r="O168" s="40"/>
      <c r="P168" s="258"/>
      <c r="Q168" s="449"/>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1"/>
      <c r="AM168" s="44"/>
    </row>
    <row r="169" spans="1:39" ht="13.5" thickBot="1">
      <c r="A169" s="290"/>
      <c r="B169" s="274"/>
      <c r="C169" s="275"/>
      <c r="D169" s="40"/>
      <c r="E169" s="40"/>
      <c r="F169" s="40"/>
      <c r="G169" s="40"/>
      <c r="H169" s="40"/>
      <c r="I169" s="40"/>
      <c r="J169" s="40"/>
      <c r="K169" s="40"/>
      <c r="L169" s="279"/>
      <c r="M169" s="279"/>
      <c r="N169" s="279"/>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4"/>
    </row>
    <row r="170" spans="1:39" ht="15" customHeight="1" thickBot="1">
      <c r="A170" s="290"/>
      <c r="B170" s="274"/>
      <c r="C170" s="275"/>
      <c r="D170" s="40"/>
      <c r="E170" s="47" t="s">
        <v>100</v>
      </c>
      <c r="F170" s="48" t="s">
        <v>101</v>
      </c>
      <c r="G170" s="247" t="s">
        <v>102</v>
      </c>
      <c r="H170" s="247"/>
      <c r="I170" s="48" t="s">
        <v>103</v>
      </c>
      <c r="J170" s="50" t="s">
        <v>104</v>
      </c>
      <c r="K170" s="40"/>
      <c r="L170" s="40"/>
      <c r="M170" s="197"/>
      <c r="N170" s="40"/>
      <c r="O170" s="40"/>
      <c r="P170" s="265" t="s">
        <v>287</v>
      </c>
      <c r="Q170" s="443" t="str">
        <f ca="1">VLOOKUP(O173,'Predicción x Casa'!$A$1:$C$9,3)</f>
        <v>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v>
      </c>
      <c r="R170" s="444"/>
      <c r="S170" s="444"/>
      <c r="T170" s="444"/>
      <c r="U170" s="444"/>
      <c r="V170" s="444"/>
      <c r="W170" s="444"/>
      <c r="X170" s="444"/>
      <c r="Y170" s="444"/>
      <c r="Z170" s="444"/>
      <c r="AA170" s="444"/>
      <c r="AB170" s="444"/>
      <c r="AC170" s="444"/>
      <c r="AD170" s="444"/>
      <c r="AE170" s="444"/>
      <c r="AF170" s="444"/>
      <c r="AG170" s="444"/>
      <c r="AH170" s="444"/>
      <c r="AI170" s="444"/>
      <c r="AJ170" s="444"/>
      <c r="AK170" s="444"/>
      <c r="AL170" s="445"/>
      <c r="AM170" s="44"/>
    </row>
    <row r="171" spans="1:39" ht="15" customHeight="1" thickBot="1">
      <c r="A171" s="290"/>
      <c r="B171" s="274"/>
      <c r="C171" s="275"/>
      <c r="D171" s="40"/>
      <c r="E171" s="51" t="s">
        <v>105</v>
      </c>
      <c r="F171" s="52">
        <f ca="1">IF(G172-1&lt;1,9,G172-1)</f>
        <v>9</v>
      </c>
      <c r="G171" s="248">
        <f ca="1">IF(G173-1&lt;1,9,G173-1)</f>
        <v>5</v>
      </c>
      <c r="H171" s="248"/>
      <c r="I171" s="54">
        <f ca="1">IF(F172-1&lt;1,9,F172-1)</f>
        <v>7</v>
      </c>
      <c r="J171" s="55" t="s">
        <v>106</v>
      </c>
      <c r="K171" s="199" t="s">
        <v>289</v>
      </c>
      <c r="L171" s="40"/>
      <c r="M171" s="40"/>
      <c r="N171" s="40"/>
      <c r="O171" s="40"/>
      <c r="P171" s="266"/>
      <c r="Q171" s="446"/>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8"/>
      <c r="AM171" s="44"/>
    </row>
    <row r="172" spans="1:39" ht="15" customHeight="1">
      <c r="A172" s="290"/>
      <c r="B172" s="274"/>
      <c r="C172" s="275"/>
      <c r="D172" s="40"/>
      <c r="E172" s="56" t="s">
        <v>107</v>
      </c>
      <c r="F172" s="57">
        <f ca="1">IF(F171-1&lt;1,9,F171-1)</f>
        <v>8</v>
      </c>
      <c r="G172" s="252">
        <f ca="1">+O172</f>
        <v>1</v>
      </c>
      <c r="H172" s="253"/>
      <c r="I172" s="58">
        <f ca="1">IF(F173-1&lt;1,9,F173-1)</f>
        <v>3</v>
      </c>
      <c r="J172" s="59" t="s">
        <v>108</v>
      </c>
      <c r="K172" s="200">
        <f ca="1">IF(VALUE(MID(FIXED(B103,0,TRUE),1,1))+VALUE(MID(FIXED(B103,0,TRUE),2,1))+VALUE(MID(FIXED(B103,0,TRUE),3,1))+VALUE(MID(FIXED(B103,0,TRUE),4,1))&gt;10,11-(VALUE(MID((VALUE(MID(FIXED(B103,0,TRUE),1,1))+VALUE(MID(FIXED(B103,0,TRUE),2,1))+VALUE(MID(FIXED(B103,0,TRUE),3,1))+VALUE(MID(FIXED(B103,0,TRUE),4,1))),1,1))+VALUE(MID((VALUE(MID(FIXED(B103,0,TRUE),1,1))+VALUE(MID(FIXED(B103,0,TRUE),2,1))+VALUE(MID(FIXED(B103,0,TRUE),3,1))+VALUE(MID(FIXED(B103,0,TRUE),4,1))),2,1))),11-(VALUE(MID(FIXED(B103,0,TRUE),1,1))+VALUE(MID(FIXED(B103,0,TRUE),2,1))+VALUE(MID(FIXED(B103,0,TRUE),3,1))+VALUE(MID(FIXED(B103,0,TRUE),4,1))))</f>
        <v>8</v>
      </c>
      <c r="L172" s="254" t="s">
        <v>288</v>
      </c>
      <c r="M172" s="255"/>
      <c r="N172" s="255"/>
      <c r="O172" s="201">
        <f ca="1">HLOOKUP(K172,'Cálculo de 2a. Estrella'!$Q$3:$Z$15,2)</f>
        <v>1</v>
      </c>
      <c r="P172" s="266"/>
      <c r="Q172" s="446"/>
      <c r="R172" s="447"/>
      <c r="S172" s="447"/>
      <c r="T172" s="447"/>
      <c r="U172" s="447"/>
      <c r="V172" s="447"/>
      <c r="W172" s="447"/>
      <c r="X172" s="447"/>
      <c r="Y172" s="447"/>
      <c r="Z172" s="447"/>
      <c r="AA172" s="447"/>
      <c r="AB172" s="447"/>
      <c r="AC172" s="447"/>
      <c r="AD172" s="447"/>
      <c r="AE172" s="447"/>
      <c r="AF172" s="447"/>
      <c r="AG172" s="447"/>
      <c r="AH172" s="447"/>
      <c r="AI172" s="447"/>
      <c r="AJ172" s="447"/>
      <c r="AK172" s="447"/>
      <c r="AL172" s="448"/>
      <c r="AM172" s="44"/>
    </row>
    <row r="173" spans="1:39" ht="15" customHeight="1" thickBot="1">
      <c r="A173" s="290"/>
      <c r="B173" s="274"/>
      <c r="C173" s="275"/>
      <c r="D173" s="40"/>
      <c r="E173" s="51" t="s">
        <v>109</v>
      </c>
      <c r="F173" s="60">
        <f ca="1">IF(G171-1&lt;1,9,G171-1)</f>
        <v>4</v>
      </c>
      <c r="G173" s="278">
        <f ca="1">IF(I171-1&lt;1,9,I171-1)</f>
        <v>6</v>
      </c>
      <c r="H173" s="278"/>
      <c r="I173" s="62">
        <f ca="1">IF(I172-1&lt;1,9,I172-1)</f>
        <v>2</v>
      </c>
      <c r="J173" s="55" t="s">
        <v>110</v>
      </c>
      <c r="K173" s="249" t="str">
        <f>CONCATENATE(TEXT($I$19,"##0")," Visita la casa ")</f>
        <v xml:space="preserve">2 Visita la casa </v>
      </c>
      <c r="L173" s="250"/>
      <c r="M173" s="250"/>
      <c r="N173" s="251"/>
      <c r="O173" s="202">
        <f ca="1">IF(F171-$I$19=0,4,IF(G171-$I$19=0,9,IF(I171-$I$19=0,2,IF(F172-$I$19=0,3,IF(G172-$I$19=0,5,IF(I172-$I$19=0,7,IF(F173-$I$19=0,8,IF(G173-$I$19=0,1,6))))))))</f>
        <v>6</v>
      </c>
      <c r="P173" s="266"/>
      <c r="Q173" s="446"/>
      <c r="R173" s="447"/>
      <c r="S173" s="447"/>
      <c r="T173" s="447"/>
      <c r="U173" s="447"/>
      <c r="V173" s="447"/>
      <c r="W173" s="447"/>
      <c r="X173" s="447"/>
      <c r="Y173" s="447"/>
      <c r="Z173" s="447"/>
      <c r="AA173" s="447"/>
      <c r="AB173" s="447"/>
      <c r="AC173" s="447"/>
      <c r="AD173" s="447"/>
      <c r="AE173" s="447"/>
      <c r="AF173" s="447"/>
      <c r="AG173" s="447"/>
      <c r="AH173" s="447"/>
      <c r="AI173" s="447"/>
      <c r="AJ173" s="447"/>
      <c r="AK173" s="447"/>
      <c r="AL173" s="448"/>
      <c r="AM173" s="44"/>
    </row>
    <row r="174" spans="1:39" ht="15" customHeight="1" thickBot="1">
      <c r="A174" s="291"/>
      <c r="B174" s="276"/>
      <c r="C174" s="277"/>
      <c r="D174" s="40"/>
      <c r="E174" s="63" t="s">
        <v>111</v>
      </c>
      <c r="F174" s="64" t="s">
        <v>112</v>
      </c>
      <c r="G174" s="292" t="s">
        <v>113</v>
      </c>
      <c r="H174" s="292"/>
      <c r="I174" s="64" t="s">
        <v>114</v>
      </c>
      <c r="J174" s="66" t="s">
        <v>115</v>
      </c>
      <c r="K174" s="40"/>
      <c r="L174" s="279"/>
      <c r="M174" s="279"/>
      <c r="N174" s="279"/>
      <c r="O174" s="40"/>
      <c r="P174" s="267"/>
      <c r="Q174" s="449"/>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1"/>
      <c r="AM174" s="44"/>
    </row>
    <row r="175" spans="1:39">
      <c r="A175" s="39"/>
      <c r="B175" s="40"/>
      <c r="C175" s="40"/>
      <c r="D175" s="40"/>
      <c r="E175" s="40"/>
      <c r="F175" s="40"/>
      <c r="G175" s="40"/>
      <c r="H175" s="40"/>
      <c r="I175" s="40"/>
      <c r="J175" s="40"/>
      <c r="K175" s="40"/>
      <c r="L175" s="279"/>
      <c r="M175" s="279"/>
      <c r="N175" s="279"/>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4"/>
    </row>
    <row r="176" spans="1:39" ht="13.5" thickBot="1">
      <c r="A176" s="41"/>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5"/>
    </row>
  </sheetData>
  <sheetProtection algorithmName="SHA-512" hashValue="SCLskR5IWfMjPoTutp8PBn+S8za8On0zKjzXbtwYo0cVe+Acl9PvM5M6L0yKSEn7OCdrZqScbHOOXgBEWl82lg==" saltValue="K6VBmaqVyL69ydcHxmAeOw==" spinCount="100000" sheet="1"/>
  <mergeCells count="256">
    <mergeCell ref="A103:A137"/>
    <mergeCell ref="L114:N114"/>
    <mergeCell ref="L120:N120"/>
    <mergeCell ref="L126:N126"/>
    <mergeCell ref="L132:N132"/>
    <mergeCell ref="K118:N118"/>
    <mergeCell ref="G136:H136"/>
    <mergeCell ref="G137:H137"/>
    <mergeCell ref="B103:C137"/>
    <mergeCell ref="L137:N137"/>
    <mergeCell ref="L175:N175"/>
    <mergeCell ref="G164:H164"/>
    <mergeCell ref="G165:H165"/>
    <mergeCell ref="G166:H166"/>
    <mergeCell ref="L166:N166"/>
    <mergeCell ref="G173:H173"/>
    <mergeCell ref="G174:H174"/>
    <mergeCell ref="L174:N174"/>
    <mergeCell ref="L169:N169"/>
    <mergeCell ref="G170:H170"/>
    <mergeCell ref="G171:H171"/>
    <mergeCell ref="G172:H172"/>
    <mergeCell ref="L172:N172"/>
    <mergeCell ref="G167:H167"/>
    <mergeCell ref="G168:H168"/>
    <mergeCell ref="L168:N168"/>
    <mergeCell ref="K167:N167"/>
    <mergeCell ref="Q121:AL125"/>
    <mergeCell ref="Q127:AL131"/>
    <mergeCell ref="Q133:AL137"/>
    <mergeCell ref="G161:H161"/>
    <mergeCell ref="G162:H162"/>
    <mergeCell ref="L162:N162"/>
    <mergeCell ref="G153:H153"/>
    <mergeCell ref="G154:H154"/>
    <mergeCell ref="G155:H155"/>
    <mergeCell ref="G156:H156"/>
    <mergeCell ref="G160:H160"/>
    <mergeCell ref="G158:H158"/>
    <mergeCell ref="G159:H159"/>
    <mergeCell ref="Q170:AL174"/>
    <mergeCell ref="K143:N143"/>
    <mergeCell ref="K149:N149"/>
    <mergeCell ref="K155:N155"/>
    <mergeCell ref="K161:N161"/>
    <mergeCell ref="Q164:AL168"/>
    <mergeCell ref="K173:N173"/>
    <mergeCell ref="L144:N144"/>
    <mergeCell ref="Q140:AL144"/>
    <mergeCell ref="L160:N160"/>
    <mergeCell ref="Q158:AL162"/>
    <mergeCell ref="L145:N145"/>
    <mergeCell ref="Q146:AL150"/>
    <mergeCell ref="Q152:AL156"/>
    <mergeCell ref="P152:P156"/>
    <mergeCell ref="P158:P162"/>
    <mergeCell ref="L154:N154"/>
    <mergeCell ref="L151:N151"/>
    <mergeCell ref="L148:N148"/>
    <mergeCell ref="L150:N150"/>
    <mergeCell ref="G140:H140"/>
    <mergeCell ref="G130:H130"/>
    <mergeCell ref="G131:H131"/>
    <mergeCell ref="L131:N131"/>
    <mergeCell ref="L138:N138"/>
    <mergeCell ref="L163:N163"/>
    <mergeCell ref="L139:N139"/>
    <mergeCell ref="L156:N156"/>
    <mergeCell ref="L157:N157"/>
    <mergeCell ref="G141:H141"/>
    <mergeCell ref="G142:H142"/>
    <mergeCell ref="L142:N142"/>
    <mergeCell ref="G143:H143"/>
    <mergeCell ref="G144:H144"/>
    <mergeCell ref="G146:H146"/>
    <mergeCell ref="G152:H152"/>
    <mergeCell ref="G147:H147"/>
    <mergeCell ref="G148:H148"/>
    <mergeCell ref="G149:H149"/>
    <mergeCell ref="G150:H150"/>
    <mergeCell ref="AB89:AI94"/>
    <mergeCell ref="G77:H77"/>
    <mergeCell ref="G79:H79"/>
    <mergeCell ref="S79:T79"/>
    <mergeCell ref="G75:H75"/>
    <mergeCell ref="G118:H118"/>
    <mergeCell ref="G119:H119"/>
    <mergeCell ref="L119:N119"/>
    <mergeCell ref="L108:N108"/>
    <mergeCell ref="G115:H115"/>
    <mergeCell ref="G116:H116"/>
    <mergeCell ref="G117:H117"/>
    <mergeCell ref="G112:H112"/>
    <mergeCell ref="G113:H113"/>
    <mergeCell ref="G110:H110"/>
    <mergeCell ref="Q103:AL107"/>
    <mergeCell ref="Q109:AL113"/>
    <mergeCell ref="Q115:AL119"/>
    <mergeCell ref="S78:T78"/>
    <mergeCell ref="AE75:AF75"/>
    <mergeCell ref="AE76:AF76"/>
    <mergeCell ref="AE77:AF77"/>
    <mergeCell ref="AE78:AF78"/>
    <mergeCell ref="O68:Y68"/>
    <mergeCell ref="B64:S64"/>
    <mergeCell ref="B59:AL59"/>
    <mergeCell ref="B60:AL60"/>
    <mergeCell ref="B70:AL70"/>
    <mergeCell ref="B71:AL71"/>
    <mergeCell ref="CU52:DD52"/>
    <mergeCell ref="DG52:DP52"/>
    <mergeCell ref="AB67:AL67"/>
    <mergeCell ref="CI53:CR53"/>
    <mergeCell ref="CI52:CR52"/>
    <mergeCell ref="DG53:DP53"/>
    <mergeCell ref="DG48:DP48"/>
    <mergeCell ref="DG51:DP51"/>
    <mergeCell ref="O67:Y67"/>
    <mergeCell ref="B57:AL57"/>
    <mergeCell ref="U54:AL54"/>
    <mergeCell ref="U55:AL55"/>
    <mergeCell ref="B53:AL53"/>
    <mergeCell ref="T64:AL64"/>
    <mergeCell ref="B65:AL65"/>
    <mergeCell ref="B54:S54"/>
    <mergeCell ref="B55:S55"/>
    <mergeCell ref="B62:AL62"/>
    <mergeCell ref="CU51:DD51"/>
    <mergeCell ref="DG45:DP45"/>
    <mergeCell ref="CI46:CR46"/>
    <mergeCell ref="CU46:DD46"/>
    <mergeCell ref="DG46:DP46"/>
    <mergeCell ref="CI45:CR45"/>
    <mergeCell ref="CI51:CR51"/>
    <mergeCell ref="CI48:CR48"/>
    <mergeCell ref="CI47:CR47"/>
    <mergeCell ref="DG47:DP47"/>
    <mergeCell ref="CU48:DD48"/>
    <mergeCell ref="D12:K17"/>
    <mergeCell ref="B43:AL43"/>
    <mergeCell ref="B34:M38"/>
    <mergeCell ref="B47:AL47"/>
    <mergeCell ref="B48:AL48"/>
    <mergeCell ref="B45:AL45"/>
    <mergeCell ref="CI49:CR49"/>
    <mergeCell ref="DG49:DP49"/>
    <mergeCell ref="C8:F8"/>
    <mergeCell ref="G8:K8"/>
    <mergeCell ref="L8:O8"/>
    <mergeCell ref="D19:G23"/>
    <mergeCell ref="R7:Z7"/>
    <mergeCell ref="AA34:AL38"/>
    <mergeCell ref="B46:AL46"/>
    <mergeCell ref="C3:O3"/>
    <mergeCell ref="C4:O4"/>
    <mergeCell ref="C5:O5"/>
    <mergeCell ref="R4:Z4"/>
    <mergeCell ref="L6:O6"/>
    <mergeCell ref="C7:D7"/>
    <mergeCell ref="E7:G7"/>
    <mergeCell ref="H7:K7"/>
    <mergeCell ref="L7:O7"/>
    <mergeCell ref="AK3:AL4"/>
    <mergeCell ref="DG40:DP40"/>
    <mergeCell ref="M67:M68"/>
    <mergeCell ref="B68:L68"/>
    <mergeCell ref="DG41:DP41"/>
    <mergeCell ref="CU41:DD41"/>
    <mergeCell ref="Y10:AA10"/>
    <mergeCell ref="AC2:AI3"/>
    <mergeCell ref="A40:AM40"/>
    <mergeCell ref="O34:Y38"/>
    <mergeCell ref="R5:Z5"/>
    <mergeCell ref="AB12:AI17"/>
    <mergeCell ref="AB19:AE23"/>
    <mergeCell ref="P12:W17"/>
    <mergeCell ref="AG19:AI23"/>
    <mergeCell ref="P19:S23"/>
    <mergeCell ref="U19:W23"/>
    <mergeCell ref="R6:Z6"/>
    <mergeCell ref="Q10:U10"/>
    <mergeCell ref="V10:X10"/>
    <mergeCell ref="C6:D6"/>
    <mergeCell ref="CI40:CR40"/>
    <mergeCell ref="E6:G6"/>
    <mergeCell ref="H6:K6"/>
    <mergeCell ref="CI41:CR41"/>
    <mergeCell ref="B52:AL52"/>
    <mergeCell ref="B67:L67"/>
    <mergeCell ref="A140:A174"/>
    <mergeCell ref="G107:H107"/>
    <mergeCell ref="L107:N107"/>
    <mergeCell ref="B72:AL73"/>
    <mergeCell ref="G78:H78"/>
    <mergeCell ref="B99:AL99"/>
    <mergeCell ref="B98:S98"/>
    <mergeCell ref="E96:J96"/>
    <mergeCell ref="Q96:V96"/>
    <mergeCell ref="AC96:AH96"/>
    <mergeCell ref="AE79:AF79"/>
    <mergeCell ref="S75:T75"/>
    <mergeCell ref="S76:T76"/>
    <mergeCell ref="S77:T77"/>
    <mergeCell ref="G76:H76"/>
    <mergeCell ref="D89:K94"/>
    <mergeCell ref="P89:W94"/>
    <mergeCell ref="B51:AL51"/>
    <mergeCell ref="B50:AL50"/>
    <mergeCell ref="B49:AL49"/>
    <mergeCell ref="AB68:AL68"/>
    <mergeCell ref="P164:P168"/>
    <mergeCell ref="B41:AL41"/>
    <mergeCell ref="B42:AL42"/>
    <mergeCell ref="B44:AL44"/>
    <mergeCell ref="P133:P137"/>
    <mergeCell ref="P140:P144"/>
    <mergeCell ref="P146:P150"/>
    <mergeCell ref="K106:N106"/>
    <mergeCell ref="K112:N112"/>
    <mergeCell ref="K124:N124"/>
    <mergeCell ref="P103:P107"/>
    <mergeCell ref="P109:P113"/>
    <mergeCell ref="P115:P119"/>
    <mergeCell ref="P121:P125"/>
    <mergeCell ref="T98:AL98"/>
    <mergeCell ref="B140:C174"/>
    <mergeCell ref="G105:H105"/>
    <mergeCell ref="G106:H106"/>
    <mergeCell ref="L113:N113"/>
    <mergeCell ref="G109:H109"/>
    <mergeCell ref="L111:N111"/>
    <mergeCell ref="L105:N105"/>
    <mergeCell ref="P170:P174"/>
    <mergeCell ref="P127:P131"/>
    <mergeCell ref="I19:K23"/>
    <mergeCell ref="G103:H103"/>
    <mergeCell ref="G104:H104"/>
    <mergeCell ref="K136:N136"/>
    <mergeCell ref="G123:H123"/>
    <mergeCell ref="L123:N123"/>
    <mergeCell ref="G111:H111"/>
    <mergeCell ref="L117:N117"/>
    <mergeCell ref="G121:H121"/>
    <mergeCell ref="G122:H122"/>
    <mergeCell ref="G124:H124"/>
    <mergeCell ref="G127:H127"/>
    <mergeCell ref="G128:H128"/>
    <mergeCell ref="G129:H129"/>
    <mergeCell ref="L129:N129"/>
    <mergeCell ref="K130:N130"/>
    <mergeCell ref="L125:N125"/>
    <mergeCell ref="G125:H125"/>
    <mergeCell ref="G133:H133"/>
    <mergeCell ref="G134:H134"/>
    <mergeCell ref="G135:H135"/>
    <mergeCell ref="L135:N135"/>
  </mergeCells>
  <phoneticPr fontId="0" type="noConversion"/>
  <conditionalFormatting sqref="I76 U76 AG76 AG5">
    <cfRule type="cellIs" dxfId="69" priority="1" stopIfTrue="1" operator="equal">
      <formula>2</formula>
    </cfRule>
  </conditionalFormatting>
  <conditionalFormatting sqref="I77 U77 AG77 AG6">
    <cfRule type="cellIs" dxfId="68" priority="2" stopIfTrue="1" operator="equal">
      <formula>7</formula>
    </cfRule>
  </conditionalFormatting>
  <conditionalFormatting sqref="I78 U78 AG78 AG7">
    <cfRule type="cellIs" dxfId="67" priority="3" stopIfTrue="1" operator="equal">
      <formula>6</formula>
    </cfRule>
  </conditionalFormatting>
  <conditionalFormatting sqref="AE78 S78 G78 AF7">
    <cfRule type="cellIs" dxfId="66" priority="4" stopIfTrue="1" operator="equal">
      <formula>1</formula>
    </cfRule>
  </conditionalFormatting>
  <conditionalFormatting sqref="AE76 S76 G76 AF5">
    <cfRule type="cellIs" dxfId="65" priority="5" stopIfTrue="1" operator="equal">
      <formula>9</formula>
    </cfRule>
  </conditionalFormatting>
  <conditionalFormatting sqref="AD76 R76 F76 AE5">
    <cfRule type="cellIs" dxfId="64" priority="6" stopIfTrue="1" operator="equal">
      <formula>4</formula>
    </cfRule>
  </conditionalFormatting>
  <conditionalFormatting sqref="AD77 R77 F77 AE6">
    <cfRule type="cellIs" dxfId="63" priority="7" stopIfTrue="1" operator="equal">
      <formula>3</formula>
    </cfRule>
  </conditionalFormatting>
  <conditionalFormatting sqref="AD78 R78 F78 AE7">
    <cfRule type="cellIs" dxfId="62" priority="8" stopIfTrue="1" operator="equal">
      <formula>8</formula>
    </cfRule>
  </conditionalFormatting>
  <conditionalFormatting sqref="AC82:AD82 AG82:AH82 AG84:AH84 AG86:AH86 AC84:AD84 AC86:AD86 AD27:AE27 AH27:AI27 AH29:AI29 AH31:AI31 AD29:AE29 AD31:AE31">
    <cfRule type="expression" dxfId="61" priority="9" stopIfTrue="1">
      <formula>IF($AG$19&lt;&gt;5,TRUE,FALSE)</formula>
    </cfRule>
    <cfRule type="expression" dxfId="60" priority="10" stopIfTrue="1">
      <formula>IF($AG$19=5,TRUE,FALSE)</formula>
    </cfRule>
  </conditionalFormatting>
  <conditionalFormatting sqref="AE82:AF82 AF27:AG27">
    <cfRule type="expression" dxfId="59" priority="11" stopIfTrue="1">
      <formula>IF(AND($AG$19&lt;&gt;4,$AG$19&lt;&gt;6,$AG$19&lt;&gt;8,$AG$19&lt;&gt;9,$AG$19&lt;&gt;5),TRUE,FALSE)</formula>
    </cfRule>
    <cfRule type="expression" dxfId="58" priority="12" stopIfTrue="1">
      <formula>IF($AG$19=5,TRUE,FALSE)</formula>
    </cfRule>
  </conditionalFormatting>
  <conditionalFormatting sqref="AE84:AF84 AF29:AG29">
    <cfRule type="expression" dxfId="57" priority="13" stopIfTrue="1">
      <formula>IF(AND($AG$19&lt;&gt;1,$AG$19&lt;&gt;4,$AG$19&lt;&gt;6,$AG$19&lt;&gt;7,$AG$19&lt;&gt;5),TRUE,FALSE)</formula>
    </cfRule>
    <cfRule type="expression" dxfId="56" priority="14" stopIfTrue="1">
      <formula>IF($AG$19=5,TRUE,FALSE)</formula>
    </cfRule>
  </conditionalFormatting>
  <conditionalFormatting sqref="AE86:AF86 AF31:AG31">
    <cfRule type="expression" dxfId="55" priority="15" stopIfTrue="1">
      <formula>IF(AND($AG$19&lt;&gt;3,$AG$19&lt;&gt;6,$AG$19&lt;&gt;7,$AG$19&lt;&gt;9,$AG$19&lt;&gt;5),TRUE,FALSE)</formula>
    </cfRule>
    <cfRule type="expression" dxfId="54" priority="16" stopIfTrue="1">
      <formula>IF($AG$19=5,TRUE,FALSE)</formula>
    </cfRule>
  </conditionalFormatting>
  <conditionalFormatting sqref="Q82:R82 Q84:R84 Q86:R86 U82:V82 U84:V84 U86:V86 Q27:R27 Q29:R29 Q31:R31 U27:V27 U29:V29 U31:V31">
    <cfRule type="expression" dxfId="53" priority="17" stopIfTrue="1">
      <formula>IF($U$19&lt;&gt;5,TRUE,FALSE)</formula>
    </cfRule>
    <cfRule type="expression" dxfId="52" priority="18" stopIfTrue="1">
      <formula>IF($U$19=5,TRUE,FALSE)</formula>
    </cfRule>
  </conditionalFormatting>
  <conditionalFormatting sqref="S82:T82 S27:T27">
    <cfRule type="expression" dxfId="51" priority="19" stopIfTrue="1">
      <formula>IF(AND($U$19&lt;&gt;4,$U$19&lt;&gt;6,$U$19&lt;&gt;8,$U$19&lt;&gt;9,$U$19&lt;&gt;5),TRUE,FALSE)</formula>
    </cfRule>
    <cfRule type="expression" dxfId="50" priority="20" stopIfTrue="1">
      <formula>IF($U$19=5,TRUE,FALSE)</formula>
    </cfRule>
  </conditionalFormatting>
  <conditionalFormatting sqref="S84:T84 S29:T29">
    <cfRule type="expression" dxfId="49" priority="21" stopIfTrue="1">
      <formula>IF(AND($U$19&lt;&gt;1,$U$19&lt;&gt;4,$U$19&lt;&gt;6,$U$19&lt;&gt;7,$U$19&lt;&gt;5),TRUE,FALSE)</formula>
    </cfRule>
    <cfRule type="expression" dxfId="48" priority="22" stopIfTrue="1">
      <formula>IF($U$19=5,TRUE,FALSE)</formula>
    </cfRule>
  </conditionalFormatting>
  <conditionalFormatting sqref="S86:T86 S31:T31">
    <cfRule type="expression" dxfId="47" priority="23" stopIfTrue="1">
      <formula>IF(AND($U$19&lt;&gt;3,$U$19&lt;&gt;6,$U$19&lt;&gt;7,$U$19&lt;&gt;9,$U$19&lt;&gt;5),TRUE,FALSE)</formula>
    </cfRule>
    <cfRule type="expression" dxfId="46" priority="24" stopIfTrue="1">
      <formula>IF($U$19=5,TRUE,FALSE)</formula>
    </cfRule>
  </conditionalFormatting>
  <conditionalFormatting sqref="E82:F82 I82:J82 E84:F84 I84:J84 E86:F86 I86:J86 E27:F27 I27:J27 E29:F29 I29:J29 E31:F31 I31:J31">
    <cfRule type="expression" dxfId="45" priority="25" stopIfTrue="1">
      <formula>IF($I$19&lt;&gt;5,TRUE,FALSE)</formula>
    </cfRule>
    <cfRule type="expression" dxfId="44" priority="26" stopIfTrue="1">
      <formula>IF($I$19=5,TRUE,FALSE)</formula>
    </cfRule>
  </conditionalFormatting>
  <conditionalFormatting sqref="G82:H82 G27:H27">
    <cfRule type="expression" dxfId="43" priority="27" stopIfTrue="1">
      <formula>IF(AND($I$19&lt;&gt;4,$I$19&lt;&gt;6,$I$19&lt;&gt;8,$I$19&lt;&gt;9,$I$19&lt;&gt;5),TRUE,FALSE)</formula>
    </cfRule>
    <cfRule type="expression" dxfId="42" priority="28" stopIfTrue="1">
      <formula>IF($I$19=5,TRUE,FALSE)</formula>
    </cfRule>
  </conditionalFormatting>
  <conditionalFormatting sqref="G84:H84 G29:H29">
    <cfRule type="expression" dxfId="41" priority="29" stopIfTrue="1">
      <formula>IF(AND($I$19&lt;&gt;1,$I$19&lt;&gt;4,$I$19&lt;&gt;6,$I$19&lt;&gt;7,$I$19&lt;&gt;5),TRUE,FALSE)</formula>
    </cfRule>
    <cfRule type="expression" dxfId="40" priority="30" stopIfTrue="1">
      <formula>IF($I$19=5,TRUE,FALSE)</formula>
    </cfRule>
  </conditionalFormatting>
  <conditionalFormatting sqref="G86:H86 G31:H31">
    <cfRule type="expression" dxfId="39" priority="31" stopIfTrue="1">
      <formula>IF(AND($I$19&lt;&gt;3,$I$19&lt;&gt;6,$I$19&lt;&gt;7,$I$19&lt;&gt;9,$I$19&lt;&gt;5),TRUE,FALSE)</formula>
    </cfRule>
    <cfRule type="expression" dxfId="38" priority="32" stopIfTrue="1">
      <formula>IF($I$19=5,TRUE,FALSE)</formula>
    </cfRule>
  </conditionalFormatting>
  <conditionalFormatting sqref="U55 B55 CU51:DD52 CU46:DD46 CU41:DD41 CU48:DD48">
    <cfRule type="cellIs" dxfId="37" priority="33" stopIfTrue="1" operator="equal">
      <formula>"NO EXISTE INCOMPATIBILIDAD CON EL ASCENDENTE"</formula>
    </cfRule>
    <cfRule type="cellIs" dxfId="36" priority="34" stopIfTrue="1" operator="notEqual">
      <formula>"NO EXISTE INCOMPATIBILIDAD CON EL ASCENDENTE"</formula>
    </cfRule>
  </conditionalFormatting>
  <conditionalFormatting sqref="G106:H106 G112:H112 G118:H118 G124:H124 G130:H130 G136:H136 G143:H143 G149:H149 G155:H155 G161:H161 G167:H167 G173:H173">
    <cfRule type="expression" dxfId="35" priority="35" stopIfTrue="1">
      <formula>IF(OR(G106=1,G105=$I$19),TRUE,FALSE)</formula>
    </cfRule>
    <cfRule type="expression" dxfId="34" priority="36" stopIfTrue="1">
      <formula>IF(OR(G106=5,G106=$I$19),TRUE,FALSE)</formula>
    </cfRule>
    <cfRule type="expression" dxfId="33" priority="37" stopIfTrue="1">
      <formula>IF(OR(G104=5,G104=$I$19),TRUE,FALSE)</formula>
    </cfRule>
  </conditionalFormatting>
  <conditionalFormatting sqref="F106 F112 F118 F124 F130 F136 F143 F149 F155 F161 F167 F173">
    <cfRule type="expression" dxfId="32" priority="38" stopIfTrue="1">
      <formula>IF(OR(F106=8,G105=$I$19),TRUE,FALSE)</formula>
    </cfRule>
    <cfRule type="expression" dxfId="31" priority="39" stopIfTrue="1">
      <formula>IF(OR(F106=5,F106=$I$19),TRUE,FALSE)</formula>
    </cfRule>
    <cfRule type="expression" dxfId="30" priority="40" stopIfTrue="1">
      <formula>IF(OR(I104=5,I104=$I$19),TRUE,FALSE)</formula>
    </cfRule>
  </conditionalFormatting>
  <conditionalFormatting sqref="F105 F111 F117 F123 F129 F135 F142 F148 F154 F160 F166 F172">
    <cfRule type="expression" dxfId="29" priority="41" stopIfTrue="1">
      <formula>IF(OR(F105=3,G105=$I$19),TRUE,FALSE)</formula>
    </cfRule>
    <cfRule type="expression" dxfId="28" priority="42" stopIfTrue="1">
      <formula>IF(OR(F105=5,F105=$I$19),TRUE,FALSE)</formula>
    </cfRule>
    <cfRule type="expression" dxfId="27" priority="43" stopIfTrue="1">
      <formula>IF(OR(I105=5,I105=$I$19),TRUE,FALSE)</formula>
    </cfRule>
  </conditionalFormatting>
  <conditionalFormatting sqref="F104 F110 F116 F122 F128 F134 F141 F147 F153 F159 F165 F171">
    <cfRule type="expression" dxfId="26" priority="44" stopIfTrue="1">
      <formula>IF(OR(F104=4,G105=$I$19),TRUE,FALSE)</formula>
    </cfRule>
    <cfRule type="expression" dxfId="25" priority="45" stopIfTrue="1">
      <formula>IF(OR(F104=5,F104=$I$19),TRUE,FALSE)</formula>
    </cfRule>
    <cfRule type="expression" dxfId="24" priority="46" stopIfTrue="1">
      <formula>IF(OR(I106=5,I106=$I$19),TRUE,FALSE)</formula>
    </cfRule>
  </conditionalFormatting>
  <conditionalFormatting sqref="G104:H104 G110:H110 G116:H116 G122:H122 G128:H128 G134:H134 G141:H141 G147:H147 G153:H153 G159:H159 G165:H165 G171:H171">
    <cfRule type="expression" dxfId="23" priority="47" stopIfTrue="1">
      <formula>IF(OR(G104=9,G105=$I$19),TRUE,FALSE)</formula>
    </cfRule>
    <cfRule type="expression" dxfId="22" priority="48" stopIfTrue="1">
      <formula>IF(OR(G104=5,G104=$I$19),TRUE,FALSE)</formula>
    </cfRule>
    <cfRule type="expression" dxfId="21" priority="49" stopIfTrue="1">
      <formula>IF(OR(G106=5,G106=$I$19),TRUE,FALSE)</formula>
    </cfRule>
  </conditionalFormatting>
  <conditionalFormatting sqref="I104 I110 I116 I122 I128 I134 I141 I147 I153 I159 I165 I171">
    <cfRule type="expression" dxfId="20" priority="50" stopIfTrue="1">
      <formula>IF(OR(I104=2,G105=$I$19),TRUE,FALSE)</formula>
    </cfRule>
    <cfRule type="expression" dxfId="19" priority="51" stopIfTrue="1">
      <formula>IF(OR(I104=5,I104=$I$19),TRUE,FALSE)</formula>
    </cfRule>
    <cfRule type="expression" dxfId="18" priority="52" stopIfTrue="1">
      <formula>IF(OR(F106=5,F106=$I$19),TRUE,FALSE)</formula>
    </cfRule>
  </conditionalFormatting>
  <conditionalFormatting sqref="I105 I111 I117 I123 I129 I135 I142 I148 I154 I160 I166 I172">
    <cfRule type="expression" dxfId="17" priority="53" stopIfTrue="1">
      <formula>IF(OR(I105=7,G105=$I$19),TRUE,FALSE)</formula>
    </cfRule>
    <cfRule type="expression" dxfId="16" priority="54" stopIfTrue="1">
      <formula>IF(OR(I105=5,I105=$I$19),TRUE,FALSE)</formula>
    </cfRule>
    <cfRule type="expression" dxfId="15" priority="55" stopIfTrue="1">
      <formula>IF(OR(F105=5,F105=$I$19),TRUE,FALSE)</formula>
    </cfRule>
  </conditionalFormatting>
  <conditionalFormatting sqref="I106 I112 I118 I124 I130 I136 I143 I149 I155 I161 I167 I173">
    <cfRule type="expression" dxfId="14" priority="56" stopIfTrue="1">
      <formula>IF(OR(I106=6,G105=$I$19),TRUE,FALSE)</formula>
    </cfRule>
    <cfRule type="expression" dxfId="13" priority="57" stopIfTrue="1">
      <formula>IF(OR(I106=5,I106=$I$19),TRUE,FALSE)</formula>
    </cfRule>
    <cfRule type="expression" dxfId="12" priority="58" stopIfTrue="1">
      <formula>IF(OR(F104=5,F104=$I$19),TRUE,FALSE)</formula>
    </cfRule>
  </conditionalFormatting>
  <printOptions horizontalCentered="1" verticalCentered="1"/>
  <pageMargins left="0.27559055118110237" right="0.19685039370078741" top="0.95" bottom="0.23622047244094491" header="0.33" footer="0"/>
  <pageSetup paperSize="119" scale="50" fitToHeight="2" orientation="landscape" r:id="rId1"/>
  <headerFooter alignWithMargins="0">
    <oddHeader>&amp;C&amp;"Arial,Negrita Cursiva"&amp;20EL KI DE LAS NUEVE ESTRELLAS DEFINE TU NATURALEZA Y ESENCIA, TU CARACTER Y CUAL ES TU MISIÓN EN LA VIDA, INDICÁNDOTE HACIA DONDE Y COMO DEBES ENFOCARLA.</oddHeader>
  </headerFooter>
  <rowBreaks count="6" manualBreakCount="6">
    <brk id="44" max="38" man="1"/>
    <brk id="48" max="38" man="1"/>
    <brk id="56" max="38" man="1"/>
    <brk id="69" max="38" man="1"/>
    <brk id="100" max="38" man="1"/>
    <brk id="138" max="3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topLeftCell="E1" workbookViewId="0">
      <selection activeCell="E2" sqref="E2:P2"/>
    </sheetView>
  </sheetViews>
  <sheetFormatPr baseColWidth="10" defaultRowHeight="12.75"/>
  <cols>
    <col min="1" max="1" width="15.85546875" bestFit="1" customWidth="1"/>
    <col min="4" max="4" width="79.85546875" customWidth="1"/>
    <col min="5" max="5" width="13.28515625" bestFit="1" customWidth="1"/>
    <col min="6" max="6" width="12.42578125" bestFit="1" customWidth="1"/>
    <col min="7" max="7" width="13.85546875" bestFit="1" customWidth="1"/>
    <col min="8" max="8" width="14.140625" bestFit="1" customWidth="1"/>
    <col min="9" max="9" width="17.28515625" bestFit="1" customWidth="1"/>
    <col min="10" max="10" width="14.28515625" bestFit="1" customWidth="1"/>
    <col min="11" max="11" width="13.140625" bestFit="1" customWidth="1"/>
    <col min="12" max="12" width="12.7109375" bestFit="1" customWidth="1"/>
    <col min="13" max="13" width="12.42578125" bestFit="1" customWidth="1"/>
    <col min="14" max="14" width="12.5703125" bestFit="1" customWidth="1"/>
    <col min="15" max="15" width="13" bestFit="1" customWidth="1"/>
    <col min="16" max="16" width="12" bestFit="1" customWidth="1"/>
  </cols>
  <sheetData>
    <row r="1" spans="1:16" ht="13.5" thickBot="1"/>
    <row r="2" spans="1:16" ht="13.5" thickBot="1">
      <c r="A2" s="481" t="s">
        <v>259</v>
      </c>
      <c r="B2" s="482"/>
      <c r="C2" s="483" t="s">
        <v>258</v>
      </c>
      <c r="E2" s="30" t="s">
        <v>150</v>
      </c>
      <c r="F2" s="150" t="s">
        <v>256</v>
      </c>
      <c r="G2" s="27" t="s">
        <v>154</v>
      </c>
      <c r="H2" s="27" t="s">
        <v>156</v>
      </c>
      <c r="I2" s="27" t="s">
        <v>165</v>
      </c>
      <c r="J2" s="27" t="s">
        <v>158</v>
      </c>
      <c r="K2" s="27" t="s">
        <v>159</v>
      </c>
      <c r="L2" s="27" t="s">
        <v>257</v>
      </c>
      <c r="M2" s="27" t="s">
        <v>161</v>
      </c>
      <c r="N2" s="27" t="s">
        <v>163</v>
      </c>
      <c r="O2" s="27" t="s">
        <v>164</v>
      </c>
      <c r="P2" s="27" t="s">
        <v>296</v>
      </c>
    </row>
    <row r="3" spans="1:16" ht="13.5" thickBot="1">
      <c r="A3" s="151" t="s">
        <v>254</v>
      </c>
      <c r="B3" s="152" t="s">
        <v>255</v>
      </c>
      <c r="C3" s="484"/>
    </row>
    <row r="4" spans="1:16">
      <c r="A4" s="148">
        <v>4.1666666666666664E-2</v>
      </c>
      <c r="B4" s="149">
        <v>0.12498842592592592</v>
      </c>
      <c r="C4" s="150" t="s">
        <v>256</v>
      </c>
      <c r="D4" s="107">
        <v>1</v>
      </c>
      <c r="E4" s="205" t="str">
        <f t="shared" ref="E4:E16" si="0">CONCATENATE($C$4,C4)</f>
        <v>BúfaloBúfalo</v>
      </c>
      <c r="F4" s="203" t="str">
        <f>CONCATENATE($C$5,C4)</f>
        <v>TigreBúfalo</v>
      </c>
      <c r="G4" s="203" t="str">
        <f>CONCATENATE($C$6,C4)</f>
        <v>ConejoBúfalo</v>
      </c>
      <c r="H4" s="203" t="str">
        <f>CONCATENATE($C$7,C4)</f>
        <v>DragónBúfalo</v>
      </c>
      <c r="I4" s="203" t="str">
        <f>CONCATENATE($C$8,C4)</f>
        <v>SerpienteBúfalo</v>
      </c>
      <c r="J4" s="203" t="str">
        <f>CONCATENATE($C$9,C4)</f>
        <v>CaballoBúfalo</v>
      </c>
      <c r="K4" s="204" t="str">
        <f>CONCATENATE($C$10,C4)</f>
        <v>CabraBúfalo</v>
      </c>
      <c r="L4" s="203" t="str">
        <f>CONCATENATE($C$11,C4)</f>
        <v>MonoBúfalo</v>
      </c>
      <c r="M4" s="203" t="str">
        <f>CONCATENATE($C$12,C4)</f>
        <v>GalloBúfalo</v>
      </c>
      <c r="N4" s="203" t="str">
        <f>CONCATENATE($C$13,C4)</f>
        <v>PerroBúfalo</v>
      </c>
      <c r="O4" s="203" t="str">
        <f>CONCATENATE($C$14,C4)</f>
        <v>JabalíBúfalo</v>
      </c>
      <c r="P4" s="203" t="str">
        <f>CONCATENATE($C$15,C4)</f>
        <v>RataBúfalo</v>
      </c>
    </row>
    <row r="5" spans="1:16">
      <c r="A5" s="135">
        <v>0.125</v>
      </c>
      <c r="B5" s="134">
        <v>0.20832175925925925</v>
      </c>
      <c r="C5" s="27" t="s">
        <v>154</v>
      </c>
      <c r="D5" s="107">
        <v>2</v>
      </c>
      <c r="E5" s="203" t="str">
        <f t="shared" si="0"/>
        <v>BúfaloTigre</v>
      </c>
      <c r="F5" s="205" t="str">
        <f t="shared" ref="F5:F16" si="1">CONCATENATE($C$5,C5)</f>
        <v>TigreTigre</v>
      </c>
      <c r="G5" s="203" t="str">
        <f t="shared" ref="G5:G16" si="2">CONCATENATE($C$6,C5)</f>
        <v>ConejoTigre</v>
      </c>
      <c r="H5" s="203" t="str">
        <f t="shared" ref="H5:H16" si="3">CONCATENATE($C$7,C5)</f>
        <v>DragónTigre</v>
      </c>
      <c r="I5" s="203" t="str">
        <f t="shared" ref="I5:I16" si="4">CONCATENATE($C$8,C5)</f>
        <v>SerpienteTigre</v>
      </c>
      <c r="J5" s="203" t="str">
        <f t="shared" ref="J5:J14" si="5">CONCATENATE($C$9,C5)</f>
        <v>CaballoTigre</v>
      </c>
      <c r="K5" s="203" t="str">
        <f t="shared" ref="K5:K16" si="6">CONCATENATE($C$10,C5)</f>
        <v>CabraTigre</v>
      </c>
      <c r="L5" s="204" t="str">
        <f t="shared" ref="L5:L16" si="7">CONCATENATE($C$11,C5)</f>
        <v>MonoTigre</v>
      </c>
      <c r="M5" s="203" t="str">
        <f t="shared" ref="M5:M16" si="8">CONCATENATE($C$12,C5)</f>
        <v>GalloTigre</v>
      </c>
      <c r="N5" s="203" t="str">
        <f t="shared" ref="N5:N16" si="9">CONCATENATE($C$13,C5)</f>
        <v>PerroTigre</v>
      </c>
      <c r="O5" s="203" t="str">
        <f t="shared" ref="O5:O16" si="10">CONCATENATE($C$14,C5)</f>
        <v>JabalíTigre</v>
      </c>
      <c r="P5" s="203" t="str">
        <f t="shared" ref="P5:P16" si="11">CONCATENATE($C$15,C5)</f>
        <v>RataTigre</v>
      </c>
    </row>
    <row r="6" spans="1:16">
      <c r="A6" s="135">
        <v>0.20833333333333334</v>
      </c>
      <c r="B6" s="134">
        <v>0.29165509259259259</v>
      </c>
      <c r="C6" s="27" t="s">
        <v>156</v>
      </c>
      <c r="D6" s="107">
        <v>3</v>
      </c>
      <c r="E6" s="203" t="str">
        <f t="shared" si="0"/>
        <v>BúfaloConejo</v>
      </c>
      <c r="F6" s="203" t="str">
        <f t="shared" si="1"/>
        <v>TigreConejo</v>
      </c>
      <c r="G6" s="205" t="str">
        <f t="shared" si="2"/>
        <v>ConejoConejo</v>
      </c>
      <c r="H6" s="203" t="str">
        <f t="shared" si="3"/>
        <v>DragónConejo</v>
      </c>
      <c r="I6" s="203" t="str">
        <f t="shared" si="4"/>
        <v>SerpienteConejo</v>
      </c>
      <c r="J6" s="203" t="str">
        <f t="shared" si="5"/>
        <v>CaballoConejo</v>
      </c>
      <c r="K6" s="203" t="str">
        <f t="shared" si="6"/>
        <v>CabraConejo</v>
      </c>
      <c r="L6" s="203" t="str">
        <f t="shared" si="7"/>
        <v>MonoConejo</v>
      </c>
      <c r="M6" s="204" t="str">
        <f t="shared" si="8"/>
        <v>GalloConejo</v>
      </c>
      <c r="N6" s="203" t="str">
        <f t="shared" si="9"/>
        <v>PerroConejo</v>
      </c>
      <c r="O6" s="203" t="str">
        <f t="shared" si="10"/>
        <v>JabalíConejo</v>
      </c>
      <c r="P6" s="203" t="str">
        <f t="shared" si="11"/>
        <v>RataConejo</v>
      </c>
    </row>
    <row r="7" spans="1:16">
      <c r="A7" s="135">
        <v>0.29166666666666669</v>
      </c>
      <c r="B7" s="134">
        <v>0.37498842592592596</v>
      </c>
      <c r="C7" s="27" t="s">
        <v>165</v>
      </c>
      <c r="D7" s="107">
        <v>4</v>
      </c>
      <c r="E7" s="203" t="str">
        <f t="shared" si="0"/>
        <v>BúfaloDragón</v>
      </c>
      <c r="F7" s="203" t="str">
        <f t="shared" si="1"/>
        <v>TigreDragón</v>
      </c>
      <c r="G7" s="203" t="str">
        <f t="shared" si="2"/>
        <v>ConejoDragón</v>
      </c>
      <c r="H7" s="205" t="str">
        <f t="shared" si="3"/>
        <v>DragónDragón</v>
      </c>
      <c r="I7" s="203" t="str">
        <f t="shared" si="4"/>
        <v>SerpienteDragón</v>
      </c>
      <c r="J7" s="203" t="str">
        <f t="shared" si="5"/>
        <v>CaballoDragón</v>
      </c>
      <c r="K7" s="203" t="str">
        <f t="shared" si="6"/>
        <v>CabraDragón</v>
      </c>
      <c r="L7" s="203" t="str">
        <f t="shared" si="7"/>
        <v>MonoDragón</v>
      </c>
      <c r="M7" s="203" t="str">
        <f t="shared" si="8"/>
        <v>GalloDragón</v>
      </c>
      <c r="N7" s="204" t="str">
        <f t="shared" si="9"/>
        <v>PerroDragón</v>
      </c>
      <c r="O7" s="203" t="str">
        <f t="shared" si="10"/>
        <v>JabalíDragón</v>
      </c>
      <c r="P7" s="203" t="str">
        <f t="shared" si="11"/>
        <v>RataDragón</v>
      </c>
    </row>
    <row r="8" spans="1:16">
      <c r="A8" s="135">
        <v>0.375</v>
      </c>
      <c r="B8" s="134">
        <v>0.45832175925925928</v>
      </c>
      <c r="C8" s="27" t="s">
        <v>158</v>
      </c>
      <c r="D8" s="107">
        <v>5</v>
      </c>
      <c r="E8" s="203" t="str">
        <f t="shared" si="0"/>
        <v>BúfaloSerpiente</v>
      </c>
      <c r="F8" s="203" t="str">
        <f t="shared" si="1"/>
        <v>TigreSerpiente</v>
      </c>
      <c r="G8" s="203" t="str">
        <f t="shared" si="2"/>
        <v>ConejoSerpiente</v>
      </c>
      <c r="H8" s="203" t="str">
        <f t="shared" si="3"/>
        <v>DragónSerpiente</v>
      </c>
      <c r="I8" s="205" t="str">
        <f t="shared" si="4"/>
        <v>SerpienteSerpiente</v>
      </c>
      <c r="J8" s="203" t="str">
        <f t="shared" si="5"/>
        <v>CaballoSerpiente</v>
      </c>
      <c r="K8" s="203" t="str">
        <f t="shared" si="6"/>
        <v>CabraSerpiente</v>
      </c>
      <c r="L8" s="203" t="str">
        <f t="shared" si="7"/>
        <v>MonoSerpiente</v>
      </c>
      <c r="M8" s="203" t="str">
        <f t="shared" si="8"/>
        <v>GalloSerpiente</v>
      </c>
      <c r="N8" s="203" t="str">
        <f t="shared" si="9"/>
        <v>PerroSerpiente</v>
      </c>
      <c r="O8" s="204" t="str">
        <f t="shared" si="10"/>
        <v>JabalíSerpiente</v>
      </c>
      <c r="P8" s="203" t="str">
        <f t="shared" si="11"/>
        <v>RataSerpiente</v>
      </c>
    </row>
    <row r="9" spans="1:16">
      <c r="A9" s="135">
        <v>0.45833333333333331</v>
      </c>
      <c r="B9" s="134">
        <v>0.54165509259259259</v>
      </c>
      <c r="C9" s="27" t="s">
        <v>159</v>
      </c>
      <c r="D9" s="107">
        <v>6</v>
      </c>
      <c r="E9" s="203" t="str">
        <f t="shared" si="0"/>
        <v>BúfaloCaballo</v>
      </c>
      <c r="F9" s="203" t="str">
        <f t="shared" si="1"/>
        <v>TigreCaballo</v>
      </c>
      <c r="G9" s="203" t="str">
        <f t="shared" si="2"/>
        <v>ConejoCaballo</v>
      </c>
      <c r="H9" s="203" t="str">
        <f t="shared" si="3"/>
        <v>DragónCaballo</v>
      </c>
      <c r="I9" s="203" t="str">
        <f t="shared" si="4"/>
        <v>SerpienteCaballo</v>
      </c>
      <c r="J9" s="205" t="str">
        <f t="shared" si="5"/>
        <v>CaballoCaballo</v>
      </c>
      <c r="K9" s="203" t="str">
        <f t="shared" si="6"/>
        <v>CabraCaballo</v>
      </c>
      <c r="L9" s="203" t="str">
        <f t="shared" si="7"/>
        <v>MonoCaballo</v>
      </c>
      <c r="M9" s="203" t="str">
        <f t="shared" si="8"/>
        <v>GalloCaballo</v>
      </c>
      <c r="N9" s="203" t="str">
        <f t="shared" si="9"/>
        <v>PerroCaballo</v>
      </c>
      <c r="O9" s="203" t="str">
        <f t="shared" si="10"/>
        <v>JabalíCaballo</v>
      </c>
      <c r="P9" s="204" t="str">
        <f t="shared" si="11"/>
        <v>RataCaballo</v>
      </c>
    </row>
    <row r="10" spans="1:16">
      <c r="A10" s="135">
        <v>0.54166666666666663</v>
      </c>
      <c r="B10" s="134">
        <v>0.62498842592592596</v>
      </c>
      <c r="C10" s="27" t="s">
        <v>257</v>
      </c>
      <c r="D10" s="107">
        <v>7</v>
      </c>
      <c r="E10" s="204" t="str">
        <f t="shared" si="0"/>
        <v>BúfaloCabra</v>
      </c>
      <c r="F10" s="203" t="str">
        <f t="shared" si="1"/>
        <v>TigreCabra</v>
      </c>
      <c r="G10" s="203" t="str">
        <f t="shared" si="2"/>
        <v>ConejoCabra</v>
      </c>
      <c r="H10" s="203" t="str">
        <f t="shared" si="3"/>
        <v>DragónCabra</v>
      </c>
      <c r="I10" s="203" t="str">
        <f t="shared" si="4"/>
        <v>SerpienteCabra</v>
      </c>
      <c r="J10" s="203" t="str">
        <f t="shared" si="5"/>
        <v>CaballoCabra</v>
      </c>
      <c r="K10" s="205" t="str">
        <f t="shared" si="6"/>
        <v>CabraCabra</v>
      </c>
      <c r="L10" s="203" t="str">
        <f t="shared" si="7"/>
        <v>MonoCabra</v>
      </c>
      <c r="M10" s="203" t="str">
        <f t="shared" si="8"/>
        <v>GalloCabra</v>
      </c>
      <c r="N10" s="203" t="str">
        <f t="shared" si="9"/>
        <v>PerroCabra</v>
      </c>
      <c r="O10" s="203" t="str">
        <f t="shared" si="10"/>
        <v>JabalíCabra</v>
      </c>
      <c r="P10" s="203" t="str">
        <f t="shared" si="11"/>
        <v>RataCabra</v>
      </c>
    </row>
    <row r="11" spans="1:16">
      <c r="A11" s="135">
        <v>0.625</v>
      </c>
      <c r="B11" s="134">
        <v>0.70832175925925922</v>
      </c>
      <c r="C11" s="27" t="s">
        <v>161</v>
      </c>
      <c r="D11" s="107">
        <v>8</v>
      </c>
      <c r="E11" s="203" t="str">
        <f t="shared" si="0"/>
        <v>BúfaloMono</v>
      </c>
      <c r="F11" s="204" t="str">
        <f t="shared" si="1"/>
        <v>TigreMono</v>
      </c>
      <c r="G11" s="203" t="str">
        <f t="shared" si="2"/>
        <v>ConejoMono</v>
      </c>
      <c r="H11" s="203" t="str">
        <f t="shared" si="3"/>
        <v>DragónMono</v>
      </c>
      <c r="I11" s="203" t="str">
        <f t="shared" si="4"/>
        <v>SerpienteMono</v>
      </c>
      <c r="J11" s="203" t="str">
        <f t="shared" si="5"/>
        <v>CaballoMono</v>
      </c>
      <c r="K11" s="203" t="str">
        <f t="shared" si="6"/>
        <v>CabraMono</v>
      </c>
      <c r="L11" s="205" t="str">
        <f t="shared" si="7"/>
        <v>MonoMono</v>
      </c>
      <c r="M11" s="203" t="str">
        <f t="shared" si="8"/>
        <v>GalloMono</v>
      </c>
      <c r="N11" s="203" t="str">
        <f t="shared" si="9"/>
        <v>PerroMono</v>
      </c>
      <c r="O11" s="203" t="str">
        <f t="shared" si="10"/>
        <v>JabalíMono</v>
      </c>
      <c r="P11" s="203" t="str">
        <f t="shared" si="11"/>
        <v>RataMono</v>
      </c>
    </row>
    <row r="12" spans="1:16">
      <c r="A12" s="135">
        <v>0.70833333333333337</v>
      </c>
      <c r="B12" s="134">
        <v>0.79165509259259259</v>
      </c>
      <c r="C12" s="27" t="s">
        <v>163</v>
      </c>
      <c r="D12" s="107">
        <v>9</v>
      </c>
      <c r="E12" s="203" t="str">
        <f t="shared" si="0"/>
        <v>BúfaloGallo</v>
      </c>
      <c r="F12" s="203" t="str">
        <f t="shared" si="1"/>
        <v>TigreGallo</v>
      </c>
      <c r="G12" s="204" t="str">
        <f t="shared" si="2"/>
        <v>ConejoGallo</v>
      </c>
      <c r="H12" s="203" t="str">
        <f t="shared" si="3"/>
        <v>DragónGallo</v>
      </c>
      <c r="I12" s="203" t="str">
        <f t="shared" si="4"/>
        <v>SerpienteGallo</v>
      </c>
      <c r="J12" s="203" t="str">
        <f t="shared" si="5"/>
        <v>CaballoGallo</v>
      </c>
      <c r="K12" s="203" t="str">
        <f t="shared" si="6"/>
        <v>CabraGallo</v>
      </c>
      <c r="L12" s="203" t="str">
        <f t="shared" si="7"/>
        <v>MonoGallo</v>
      </c>
      <c r="M12" s="205" t="str">
        <f t="shared" si="8"/>
        <v>GalloGallo</v>
      </c>
      <c r="N12" s="203" t="str">
        <f t="shared" si="9"/>
        <v>PerroGallo</v>
      </c>
      <c r="O12" s="203" t="str">
        <f t="shared" si="10"/>
        <v>JabalíGallo</v>
      </c>
      <c r="P12" s="203" t="str">
        <f t="shared" si="11"/>
        <v>RataGallo</v>
      </c>
    </row>
    <row r="13" spans="1:16">
      <c r="A13" s="135">
        <v>0.79166666666666663</v>
      </c>
      <c r="B13" s="134">
        <v>0.87498842592592585</v>
      </c>
      <c r="C13" s="27" t="s">
        <v>164</v>
      </c>
      <c r="D13" s="107">
        <v>10</v>
      </c>
      <c r="E13" s="203" t="str">
        <f t="shared" si="0"/>
        <v>BúfaloPerro</v>
      </c>
      <c r="F13" s="203" t="str">
        <f t="shared" si="1"/>
        <v>TigrePerro</v>
      </c>
      <c r="G13" s="203" t="str">
        <f t="shared" si="2"/>
        <v>ConejoPerro</v>
      </c>
      <c r="H13" s="204" t="str">
        <f t="shared" si="3"/>
        <v>DragónPerro</v>
      </c>
      <c r="I13" s="203" t="str">
        <f t="shared" si="4"/>
        <v>SerpientePerro</v>
      </c>
      <c r="J13" s="203" t="str">
        <f t="shared" si="5"/>
        <v>CaballoPerro</v>
      </c>
      <c r="K13" s="203" t="str">
        <f t="shared" si="6"/>
        <v>CabraPerro</v>
      </c>
      <c r="L13" s="203" t="str">
        <f t="shared" si="7"/>
        <v>MonoPerro</v>
      </c>
      <c r="M13" s="203" t="str">
        <f t="shared" si="8"/>
        <v>GalloPerro</v>
      </c>
      <c r="N13" s="205" t="str">
        <f t="shared" si="9"/>
        <v>PerroPerro</v>
      </c>
      <c r="O13" s="203" t="str">
        <f t="shared" si="10"/>
        <v>JabalíPerro</v>
      </c>
      <c r="P13" s="203" t="str">
        <f t="shared" si="11"/>
        <v>RataPerro</v>
      </c>
    </row>
    <row r="14" spans="1:16">
      <c r="A14" s="135">
        <v>0.875</v>
      </c>
      <c r="B14" s="134">
        <v>0.95832175925925922</v>
      </c>
      <c r="C14" s="27" t="s">
        <v>296</v>
      </c>
      <c r="D14" s="107">
        <v>11</v>
      </c>
      <c r="E14" s="203" t="str">
        <f t="shared" si="0"/>
        <v>BúfaloJabalí</v>
      </c>
      <c r="F14" s="203" t="str">
        <f t="shared" si="1"/>
        <v>TigreJabalí</v>
      </c>
      <c r="G14" s="203" t="str">
        <f t="shared" si="2"/>
        <v>ConejoJabalí</v>
      </c>
      <c r="H14" s="203" t="str">
        <f t="shared" si="3"/>
        <v>DragónJabalí</v>
      </c>
      <c r="I14" s="204" t="str">
        <f t="shared" si="4"/>
        <v>SerpienteJabalí</v>
      </c>
      <c r="J14" s="203" t="str">
        <f t="shared" si="5"/>
        <v>CaballoJabalí</v>
      </c>
      <c r="K14" s="203" t="str">
        <f t="shared" si="6"/>
        <v>CabraJabalí</v>
      </c>
      <c r="L14" s="203" t="str">
        <f t="shared" si="7"/>
        <v>MonoJabalí</v>
      </c>
      <c r="M14" s="203" t="str">
        <f t="shared" si="8"/>
        <v>GalloJabalí</v>
      </c>
      <c r="N14" s="203" t="str">
        <f t="shared" si="9"/>
        <v>PerroJabalí</v>
      </c>
      <c r="O14" s="205" t="str">
        <f t="shared" si="10"/>
        <v>JabalíJabalí</v>
      </c>
      <c r="P14" s="203" t="str">
        <f t="shared" si="11"/>
        <v>RataJabalí</v>
      </c>
    </row>
    <row r="15" spans="1:16" ht="13.5" thickBot="1">
      <c r="A15" s="136">
        <v>0.95833333333333337</v>
      </c>
      <c r="B15" s="137">
        <v>1.0416550925925925</v>
      </c>
      <c r="C15" s="30" t="s">
        <v>150</v>
      </c>
      <c r="D15" s="107">
        <v>12</v>
      </c>
      <c r="E15" s="203" t="str">
        <f t="shared" si="0"/>
        <v>BúfaloRata</v>
      </c>
      <c r="F15" s="203" t="str">
        <f t="shared" si="1"/>
        <v>TigreRata</v>
      </c>
      <c r="G15" s="203" t="str">
        <f t="shared" si="2"/>
        <v>ConejoRata</v>
      </c>
      <c r="H15" s="203" t="str">
        <f t="shared" si="3"/>
        <v>DragónRata</v>
      </c>
      <c r="I15" s="203" t="str">
        <f t="shared" si="4"/>
        <v>SerpienteRata</v>
      </c>
      <c r="J15" s="204" t="str">
        <f>CONCATENATE($C$9,C15)</f>
        <v>CaballoRata</v>
      </c>
      <c r="K15" s="203" t="str">
        <f t="shared" si="6"/>
        <v>CabraRata</v>
      </c>
      <c r="L15" s="203" t="str">
        <f t="shared" si="7"/>
        <v>MonoRata</v>
      </c>
      <c r="M15" s="203" t="str">
        <f t="shared" si="8"/>
        <v>GalloRata</v>
      </c>
      <c r="N15" s="203" t="str">
        <f t="shared" si="9"/>
        <v>PerroRata</v>
      </c>
      <c r="O15" s="203" t="str">
        <f t="shared" si="10"/>
        <v>JabalíRata</v>
      </c>
      <c r="P15" s="205" t="str">
        <f t="shared" si="11"/>
        <v>RataRata</v>
      </c>
    </row>
    <row r="16" spans="1:16" ht="13.5" thickBot="1">
      <c r="A16" s="123"/>
      <c r="B16" s="123"/>
      <c r="C16" s="18"/>
      <c r="E16" s="203" t="str">
        <f t="shared" si="0"/>
        <v>Búfalo</v>
      </c>
      <c r="F16" s="203" t="str">
        <f t="shared" si="1"/>
        <v>Tigre</v>
      </c>
      <c r="G16" s="203" t="str">
        <f t="shared" si="2"/>
        <v>Conejo</v>
      </c>
      <c r="H16" s="203" t="str">
        <f t="shared" si="3"/>
        <v>Dragón</v>
      </c>
      <c r="I16" s="203" t="str">
        <f t="shared" si="4"/>
        <v>Serpiente</v>
      </c>
      <c r="J16" s="203" t="str">
        <f>CONCATENATE($C$9,C16)</f>
        <v>Caballo</v>
      </c>
      <c r="K16" s="203" t="str">
        <f t="shared" si="6"/>
        <v>Cabra</v>
      </c>
      <c r="L16" s="203" t="str">
        <f t="shared" si="7"/>
        <v>Mono</v>
      </c>
      <c r="M16" s="203" t="str">
        <f t="shared" si="8"/>
        <v>Gallo</v>
      </c>
      <c r="N16" s="203" t="str">
        <f t="shared" si="9"/>
        <v>Perro</v>
      </c>
      <c r="O16" s="203" t="str">
        <f t="shared" si="10"/>
        <v>Jabalí</v>
      </c>
      <c r="P16" s="203" t="str">
        <f t="shared" si="11"/>
        <v>Rata</v>
      </c>
    </row>
    <row r="17" spans="1:7">
      <c r="A17" s="479" t="s">
        <v>216</v>
      </c>
      <c r="B17" s="485" t="s">
        <v>78</v>
      </c>
      <c r="C17" s="485"/>
      <c r="D17" s="477" t="s">
        <v>80</v>
      </c>
      <c r="G17" s="203"/>
    </row>
    <row r="18" spans="1:7" ht="13.5" thickBot="1">
      <c r="A18" s="480"/>
      <c r="B18" s="486"/>
      <c r="C18" s="486"/>
      <c r="D18" s="478"/>
    </row>
    <row r="19" spans="1:7" ht="13.5" thickBot="1">
      <c r="A19" s="159" t="s">
        <v>370</v>
      </c>
      <c r="B19" s="160" t="s">
        <v>256</v>
      </c>
      <c r="C19" s="160" t="s">
        <v>256</v>
      </c>
      <c r="D19" s="209" t="s">
        <v>495</v>
      </c>
    </row>
    <row r="20" spans="1:7" ht="13.5" thickBot="1">
      <c r="A20" s="159" t="s">
        <v>374</v>
      </c>
      <c r="B20" s="160" t="s">
        <v>256</v>
      </c>
      <c r="C20" s="160" t="s">
        <v>159</v>
      </c>
      <c r="D20" s="209" t="s">
        <v>495</v>
      </c>
    </row>
    <row r="21" spans="1:7" ht="39" thickBot="1">
      <c r="A21" s="159" t="str">
        <f>CONCATENATE(B21,C21)</f>
        <v>BúfaloCabra</v>
      </c>
      <c r="B21" s="160" t="s">
        <v>256</v>
      </c>
      <c r="C21" s="160" t="s">
        <v>257</v>
      </c>
      <c r="D21" s="161" t="s">
        <v>83</v>
      </c>
    </row>
    <row r="22" spans="1:7" ht="13.5" thickBot="1">
      <c r="A22" s="159" t="s">
        <v>371</v>
      </c>
      <c r="B22" s="160" t="s">
        <v>256</v>
      </c>
      <c r="C22" s="160" t="s">
        <v>156</v>
      </c>
      <c r="D22" s="209" t="s">
        <v>495</v>
      </c>
    </row>
    <row r="23" spans="1:7" ht="13.5" thickBot="1">
      <c r="A23" s="159" t="s">
        <v>372</v>
      </c>
      <c r="B23" s="160" t="s">
        <v>256</v>
      </c>
      <c r="C23" s="160" t="s">
        <v>165</v>
      </c>
      <c r="D23" s="209" t="s">
        <v>495</v>
      </c>
    </row>
    <row r="24" spans="1:7" ht="13.5" thickBot="1">
      <c r="A24" s="159" t="s">
        <v>376</v>
      </c>
      <c r="B24" s="160" t="s">
        <v>256</v>
      </c>
      <c r="C24" s="160" t="s">
        <v>163</v>
      </c>
      <c r="D24" s="209" t="s">
        <v>495</v>
      </c>
    </row>
    <row r="25" spans="1:7" ht="13.5" thickBot="1">
      <c r="A25" s="159" t="s">
        <v>378</v>
      </c>
      <c r="B25" s="160" t="s">
        <v>256</v>
      </c>
      <c r="C25" s="160" t="s">
        <v>296</v>
      </c>
      <c r="D25" s="209" t="s">
        <v>495</v>
      </c>
    </row>
    <row r="26" spans="1:7" ht="13.5" thickBot="1">
      <c r="A26" s="206" t="s">
        <v>375</v>
      </c>
      <c r="B26" s="160" t="s">
        <v>256</v>
      </c>
      <c r="C26" s="207" t="s">
        <v>161</v>
      </c>
      <c r="D26" s="209" t="s">
        <v>495</v>
      </c>
    </row>
    <row r="27" spans="1:7" ht="13.5" thickBot="1">
      <c r="A27" s="206" t="s">
        <v>377</v>
      </c>
      <c r="B27" s="160" t="s">
        <v>256</v>
      </c>
      <c r="C27" s="207" t="s">
        <v>164</v>
      </c>
      <c r="D27" s="209" t="s">
        <v>495</v>
      </c>
    </row>
    <row r="28" spans="1:7" ht="13.5" thickBot="1">
      <c r="A28" s="206" t="s">
        <v>379</v>
      </c>
      <c r="B28" s="160" t="s">
        <v>256</v>
      </c>
      <c r="C28" s="207" t="s">
        <v>150</v>
      </c>
      <c r="D28" s="209" t="s">
        <v>495</v>
      </c>
    </row>
    <row r="29" spans="1:7" ht="13.5" thickBot="1">
      <c r="A29" s="206" t="s">
        <v>373</v>
      </c>
      <c r="B29" s="160" t="s">
        <v>256</v>
      </c>
      <c r="C29" s="207" t="s">
        <v>158</v>
      </c>
      <c r="D29" s="209" t="s">
        <v>495</v>
      </c>
    </row>
    <row r="30" spans="1:7" ht="13.5" thickBot="1">
      <c r="A30" s="206" t="s">
        <v>358</v>
      </c>
      <c r="B30" s="160" t="s">
        <v>256</v>
      </c>
      <c r="C30" s="207" t="s">
        <v>154</v>
      </c>
      <c r="D30" s="209" t="s">
        <v>495</v>
      </c>
    </row>
    <row r="31" spans="1:7" ht="13.5" thickBot="1">
      <c r="A31" s="206" t="s">
        <v>420</v>
      </c>
      <c r="B31" s="207" t="s">
        <v>159</v>
      </c>
      <c r="C31" s="207" t="s">
        <v>256</v>
      </c>
      <c r="D31" s="209" t="s">
        <v>495</v>
      </c>
    </row>
    <row r="32" spans="1:7" ht="13.5" thickBot="1">
      <c r="A32" s="159" t="s">
        <v>424</v>
      </c>
      <c r="B32" s="207" t="s">
        <v>159</v>
      </c>
      <c r="C32" s="160" t="s">
        <v>159</v>
      </c>
      <c r="D32" s="209" t="s">
        <v>495</v>
      </c>
    </row>
    <row r="33" spans="1:4" ht="13.5" thickBot="1">
      <c r="A33" s="159" t="s">
        <v>425</v>
      </c>
      <c r="B33" s="207" t="s">
        <v>159</v>
      </c>
      <c r="C33" s="160" t="s">
        <v>257</v>
      </c>
      <c r="D33" s="209" t="s">
        <v>495</v>
      </c>
    </row>
    <row r="34" spans="1:4" ht="13.5" thickBot="1">
      <c r="A34" s="159" t="s">
        <v>421</v>
      </c>
      <c r="B34" s="207" t="s">
        <v>159</v>
      </c>
      <c r="C34" s="160" t="s">
        <v>156</v>
      </c>
      <c r="D34" s="209" t="s">
        <v>495</v>
      </c>
    </row>
    <row r="35" spans="1:4" ht="13.5" thickBot="1">
      <c r="A35" s="159" t="s">
        <v>422</v>
      </c>
      <c r="B35" s="207" t="s">
        <v>159</v>
      </c>
      <c r="C35" s="160" t="s">
        <v>165</v>
      </c>
      <c r="D35" s="209" t="s">
        <v>495</v>
      </c>
    </row>
    <row r="36" spans="1:4" ht="13.5" thickBot="1">
      <c r="A36" s="159" t="s">
        <v>427</v>
      </c>
      <c r="B36" s="207" t="s">
        <v>159</v>
      </c>
      <c r="C36" s="160" t="s">
        <v>163</v>
      </c>
      <c r="D36" s="209" t="s">
        <v>495</v>
      </c>
    </row>
    <row r="37" spans="1:4">
      <c r="A37" s="159" t="s">
        <v>429</v>
      </c>
      <c r="B37" s="207" t="s">
        <v>159</v>
      </c>
      <c r="C37" s="160" t="s">
        <v>296</v>
      </c>
      <c r="D37" s="209" t="s">
        <v>495</v>
      </c>
    </row>
    <row r="38" spans="1:4" ht="13.5" thickBot="1">
      <c r="A38" s="163" t="s">
        <v>426</v>
      </c>
      <c r="B38" s="142" t="s">
        <v>159</v>
      </c>
      <c r="C38" s="142" t="s">
        <v>161</v>
      </c>
      <c r="D38" s="215" t="s">
        <v>495</v>
      </c>
    </row>
    <row r="39" spans="1:4" ht="13.5" thickBot="1">
      <c r="A39" s="211" t="s">
        <v>428</v>
      </c>
      <c r="B39" s="142" t="s">
        <v>159</v>
      </c>
      <c r="C39" s="212" t="s">
        <v>164</v>
      </c>
      <c r="D39" s="209" t="s">
        <v>495</v>
      </c>
    </row>
    <row r="40" spans="1:4" ht="39" thickBot="1">
      <c r="A40" s="211" t="str">
        <f>CONCATENATE(B40,C40)</f>
        <v>CaballoRata</v>
      </c>
      <c r="B40" s="142" t="s">
        <v>159</v>
      </c>
      <c r="C40" s="212" t="s">
        <v>150</v>
      </c>
      <c r="D40" s="161" t="s">
        <v>79</v>
      </c>
    </row>
    <row r="41" spans="1:4" ht="13.5" thickBot="1">
      <c r="A41" s="211" t="s">
        <v>423</v>
      </c>
      <c r="B41" s="142" t="s">
        <v>159</v>
      </c>
      <c r="C41" s="212" t="s">
        <v>158</v>
      </c>
      <c r="D41" s="209" t="s">
        <v>495</v>
      </c>
    </row>
    <row r="42" spans="1:4" ht="13.5" thickBot="1">
      <c r="A42" s="211" t="s">
        <v>363</v>
      </c>
      <c r="B42" s="142" t="s">
        <v>159</v>
      </c>
      <c r="C42" s="212" t="s">
        <v>154</v>
      </c>
      <c r="D42" s="209" t="s">
        <v>495</v>
      </c>
    </row>
    <row r="43" spans="1:4" ht="39" thickBot="1">
      <c r="A43" s="211" t="str">
        <f>CONCATENATE(B43,C43)</f>
        <v>CabraBúfalo</v>
      </c>
      <c r="B43" s="138" t="s">
        <v>257</v>
      </c>
      <c r="C43" s="212" t="s">
        <v>256</v>
      </c>
      <c r="D43" s="161" t="s">
        <v>83</v>
      </c>
    </row>
    <row r="44" spans="1:4" ht="13.5" thickBot="1">
      <c r="A44" s="211" t="s">
        <v>433</v>
      </c>
      <c r="B44" s="138" t="s">
        <v>257</v>
      </c>
      <c r="C44" s="212" t="s">
        <v>159</v>
      </c>
      <c r="D44" s="209" t="s">
        <v>495</v>
      </c>
    </row>
    <row r="45" spans="1:4" ht="13.5" thickBot="1">
      <c r="A45" s="211" t="s">
        <v>434</v>
      </c>
      <c r="B45" s="138" t="s">
        <v>257</v>
      </c>
      <c r="C45" s="212" t="s">
        <v>257</v>
      </c>
      <c r="D45" s="209" t="s">
        <v>495</v>
      </c>
    </row>
    <row r="46" spans="1:4" ht="13.5" thickBot="1">
      <c r="A46" s="211" t="s">
        <v>430</v>
      </c>
      <c r="B46" s="138" t="s">
        <v>257</v>
      </c>
      <c r="C46" s="212" t="s">
        <v>156</v>
      </c>
      <c r="D46" s="209" t="s">
        <v>495</v>
      </c>
    </row>
    <row r="47" spans="1:4" ht="13.5" thickBot="1">
      <c r="A47" s="211" t="s">
        <v>431</v>
      </c>
      <c r="B47" s="138" t="s">
        <v>257</v>
      </c>
      <c r="C47" s="212" t="s">
        <v>165</v>
      </c>
      <c r="D47" s="209" t="s">
        <v>495</v>
      </c>
    </row>
    <row r="48" spans="1:4" ht="13.5" thickBot="1">
      <c r="A48" s="211" t="s">
        <v>436</v>
      </c>
      <c r="B48" s="138" t="s">
        <v>257</v>
      </c>
      <c r="C48" s="212" t="s">
        <v>163</v>
      </c>
      <c r="D48" s="209" t="s">
        <v>495</v>
      </c>
    </row>
    <row r="49" spans="1:4" ht="13.5" thickBot="1">
      <c r="A49" s="211" t="s">
        <v>438</v>
      </c>
      <c r="B49" s="138" t="s">
        <v>257</v>
      </c>
      <c r="C49" s="212" t="s">
        <v>296</v>
      </c>
      <c r="D49" s="209" t="s">
        <v>495</v>
      </c>
    </row>
    <row r="50" spans="1:4">
      <c r="A50" s="211" t="s">
        <v>435</v>
      </c>
      <c r="B50" s="138" t="s">
        <v>257</v>
      </c>
      <c r="C50" s="212" t="s">
        <v>161</v>
      </c>
      <c r="D50" s="209" t="s">
        <v>495</v>
      </c>
    </row>
    <row r="51" spans="1:4" ht="13.5" thickBot="1">
      <c r="A51" s="162" t="s">
        <v>437</v>
      </c>
      <c r="B51" s="138" t="s">
        <v>257</v>
      </c>
      <c r="C51" s="138" t="s">
        <v>164</v>
      </c>
      <c r="D51" s="214" t="s">
        <v>495</v>
      </c>
    </row>
    <row r="52" spans="1:4" ht="13.5" thickBot="1">
      <c r="A52" s="162" t="s">
        <v>439</v>
      </c>
      <c r="B52" s="138" t="s">
        <v>257</v>
      </c>
      <c r="C52" s="138" t="s">
        <v>150</v>
      </c>
      <c r="D52" s="209" t="s">
        <v>495</v>
      </c>
    </row>
    <row r="53" spans="1:4" ht="13.5" thickBot="1">
      <c r="A53" s="162" t="s">
        <v>432</v>
      </c>
      <c r="B53" s="138" t="s">
        <v>257</v>
      </c>
      <c r="C53" s="138" t="s">
        <v>158</v>
      </c>
      <c r="D53" s="209" t="s">
        <v>495</v>
      </c>
    </row>
    <row r="54" spans="1:4" ht="13.5" thickBot="1">
      <c r="A54" s="162" t="s">
        <v>364</v>
      </c>
      <c r="B54" s="138" t="s">
        <v>257</v>
      </c>
      <c r="C54" s="138" t="s">
        <v>154</v>
      </c>
      <c r="D54" s="209" t="s">
        <v>495</v>
      </c>
    </row>
    <row r="55" spans="1:4" ht="13.5" thickBot="1">
      <c r="A55" s="162" t="s">
        <v>390</v>
      </c>
      <c r="B55" s="138" t="s">
        <v>156</v>
      </c>
      <c r="C55" s="138" t="s">
        <v>256</v>
      </c>
      <c r="D55" s="209" t="s">
        <v>495</v>
      </c>
    </row>
    <row r="56" spans="1:4" ht="13.5" thickBot="1">
      <c r="A56" s="162" t="s">
        <v>394</v>
      </c>
      <c r="B56" s="138" t="s">
        <v>156</v>
      </c>
      <c r="C56" s="138" t="s">
        <v>159</v>
      </c>
      <c r="D56" s="209" t="s">
        <v>495</v>
      </c>
    </row>
    <row r="57" spans="1:4" ht="13.5" thickBot="1">
      <c r="A57" s="162" t="s">
        <v>395</v>
      </c>
      <c r="B57" s="138" t="s">
        <v>156</v>
      </c>
      <c r="C57" s="138" t="s">
        <v>257</v>
      </c>
      <c r="D57" s="209" t="s">
        <v>495</v>
      </c>
    </row>
    <row r="58" spans="1:4" ht="13.5" thickBot="1">
      <c r="A58" s="162" t="s">
        <v>391</v>
      </c>
      <c r="B58" s="138" t="s">
        <v>156</v>
      </c>
      <c r="C58" s="138" t="s">
        <v>156</v>
      </c>
      <c r="D58" s="209" t="s">
        <v>495</v>
      </c>
    </row>
    <row r="59" spans="1:4" ht="13.5" thickBot="1">
      <c r="A59" s="162" t="s">
        <v>392</v>
      </c>
      <c r="B59" s="138" t="s">
        <v>156</v>
      </c>
      <c r="C59" s="138" t="s">
        <v>165</v>
      </c>
      <c r="D59" s="209" t="s">
        <v>495</v>
      </c>
    </row>
    <row r="60" spans="1:4" ht="51.75" thickBot="1">
      <c r="A60" s="162" t="str">
        <f>CONCATENATE(B60,C60)</f>
        <v>ConejoGallo</v>
      </c>
      <c r="B60" s="138" t="s">
        <v>156</v>
      </c>
      <c r="C60" s="138" t="s">
        <v>163</v>
      </c>
      <c r="D60" s="161" t="s">
        <v>82</v>
      </c>
    </row>
    <row r="61" spans="1:4" ht="13.5" thickBot="1">
      <c r="A61" s="162" t="s">
        <v>398</v>
      </c>
      <c r="B61" s="138" t="s">
        <v>156</v>
      </c>
      <c r="C61" s="138" t="s">
        <v>296</v>
      </c>
      <c r="D61" s="209" t="s">
        <v>495</v>
      </c>
    </row>
    <row r="62" spans="1:4" ht="13.5" thickBot="1">
      <c r="A62" s="162" t="s">
        <v>396</v>
      </c>
      <c r="B62" s="138" t="s">
        <v>156</v>
      </c>
      <c r="C62" s="138" t="s">
        <v>161</v>
      </c>
      <c r="D62" s="209" t="s">
        <v>495</v>
      </c>
    </row>
    <row r="63" spans="1:4">
      <c r="A63" s="162" t="s">
        <v>397</v>
      </c>
      <c r="B63" s="138" t="s">
        <v>156</v>
      </c>
      <c r="C63" s="138" t="s">
        <v>164</v>
      </c>
      <c r="D63" s="209" t="s">
        <v>495</v>
      </c>
    </row>
    <row r="64" spans="1:4" ht="13.5" thickBot="1">
      <c r="A64" s="162" t="s">
        <v>399</v>
      </c>
      <c r="B64" s="138" t="s">
        <v>156</v>
      </c>
      <c r="C64" s="138" t="s">
        <v>150</v>
      </c>
      <c r="D64" s="214" t="s">
        <v>495</v>
      </c>
    </row>
    <row r="65" spans="1:4" ht="13.5" thickBot="1">
      <c r="A65" s="162" t="s">
        <v>393</v>
      </c>
      <c r="B65" s="138" t="s">
        <v>156</v>
      </c>
      <c r="C65" s="138" t="s">
        <v>158</v>
      </c>
      <c r="D65" s="209" t="s">
        <v>495</v>
      </c>
    </row>
    <row r="66" spans="1:4" ht="13.5" thickBot="1">
      <c r="A66" s="162" t="s">
        <v>360</v>
      </c>
      <c r="B66" s="138" t="s">
        <v>156</v>
      </c>
      <c r="C66" s="138" t="s">
        <v>154</v>
      </c>
      <c r="D66" s="209" t="s">
        <v>495</v>
      </c>
    </row>
    <row r="67" spans="1:4" ht="13.5" thickBot="1">
      <c r="A67" s="162" t="s">
        <v>400</v>
      </c>
      <c r="B67" s="138" t="s">
        <v>165</v>
      </c>
      <c r="C67" s="138" t="s">
        <v>256</v>
      </c>
      <c r="D67" s="209" t="s">
        <v>495</v>
      </c>
    </row>
    <row r="68" spans="1:4" ht="13.5" thickBot="1">
      <c r="A68" s="162" t="s">
        <v>404</v>
      </c>
      <c r="B68" s="138" t="s">
        <v>165</v>
      </c>
      <c r="C68" s="138" t="s">
        <v>159</v>
      </c>
      <c r="D68" s="209" t="s">
        <v>495</v>
      </c>
    </row>
    <row r="69" spans="1:4" ht="13.5" thickBot="1">
      <c r="A69" s="162" t="s">
        <v>405</v>
      </c>
      <c r="B69" s="138" t="s">
        <v>165</v>
      </c>
      <c r="C69" s="138" t="s">
        <v>257</v>
      </c>
      <c r="D69" s="209" t="s">
        <v>495</v>
      </c>
    </row>
    <row r="70" spans="1:4" ht="13.5" thickBot="1">
      <c r="A70" s="162" t="s">
        <v>401</v>
      </c>
      <c r="B70" s="138" t="s">
        <v>165</v>
      </c>
      <c r="C70" s="138" t="s">
        <v>156</v>
      </c>
      <c r="D70" s="209" t="s">
        <v>495</v>
      </c>
    </row>
    <row r="71" spans="1:4" ht="13.5" thickBot="1">
      <c r="A71" s="162" t="s">
        <v>402</v>
      </c>
      <c r="B71" s="138" t="s">
        <v>165</v>
      </c>
      <c r="C71" s="138" t="s">
        <v>165</v>
      </c>
      <c r="D71" s="209" t="s">
        <v>495</v>
      </c>
    </row>
    <row r="72" spans="1:4" ht="13.5" thickBot="1">
      <c r="A72" s="162" t="s">
        <v>407</v>
      </c>
      <c r="B72" s="138" t="s">
        <v>165</v>
      </c>
      <c r="C72" s="138" t="s">
        <v>163</v>
      </c>
      <c r="D72" s="209" t="s">
        <v>495</v>
      </c>
    </row>
    <row r="73" spans="1:4" ht="13.5" thickBot="1">
      <c r="A73" s="162" t="s">
        <v>408</v>
      </c>
      <c r="B73" s="138" t="s">
        <v>165</v>
      </c>
      <c r="C73" s="138" t="s">
        <v>296</v>
      </c>
      <c r="D73" s="209" t="s">
        <v>495</v>
      </c>
    </row>
    <row r="74" spans="1:4" ht="13.5" thickBot="1">
      <c r="A74" s="162" t="s">
        <v>406</v>
      </c>
      <c r="B74" s="138" t="s">
        <v>165</v>
      </c>
      <c r="C74" s="138" t="s">
        <v>161</v>
      </c>
      <c r="D74" s="209" t="s">
        <v>495</v>
      </c>
    </row>
    <row r="75" spans="1:4" ht="51.75" thickBot="1">
      <c r="A75" s="162" t="str">
        <f>CONCATENATE(B75,C75)</f>
        <v>DragónPerro</v>
      </c>
      <c r="B75" s="138" t="s">
        <v>165</v>
      </c>
      <c r="C75" s="138" t="s">
        <v>164</v>
      </c>
      <c r="D75" s="161" t="s">
        <v>215</v>
      </c>
    </row>
    <row r="76" spans="1:4">
      <c r="A76" s="162" t="s">
        <v>409</v>
      </c>
      <c r="B76" s="138" t="s">
        <v>165</v>
      </c>
      <c r="C76" s="138" t="s">
        <v>150</v>
      </c>
      <c r="D76" s="209" t="s">
        <v>495</v>
      </c>
    </row>
    <row r="77" spans="1:4" ht="13.5" thickBot="1">
      <c r="A77" s="162" t="s">
        <v>403</v>
      </c>
      <c r="B77" s="138" t="s">
        <v>165</v>
      </c>
      <c r="C77" s="138" t="s">
        <v>158</v>
      </c>
      <c r="D77" s="214" t="s">
        <v>495</v>
      </c>
    </row>
    <row r="78" spans="1:4" ht="13.5" thickBot="1">
      <c r="A78" s="162" t="s">
        <v>361</v>
      </c>
      <c r="B78" s="138" t="s">
        <v>165</v>
      </c>
      <c r="C78" s="138" t="s">
        <v>154</v>
      </c>
      <c r="D78" s="209" t="s">
        <v>495</v>
      </c>
    </row>
    <row r="79" spans="1:4" ht="13.5" thickBot="1">
      <c r="A79" s="162" t="s">
        <v>473</v>
      </c>
      <c r="B79" s="138" t="s">
        <v>163</v>
      </c>
      <c r="C79" s="138" t="s">
        <v>256</v>
      </c>
      <c r="D79" s="209" t="s">
        <v>495</v>
      </c>
    </row>
    <row r="80" spans="1:4" ht="13.5" thickBot="1">
      <c r="A80" s="162" t="s">
        <v>477</v>
      </c>
      <c r="B80" s="138" t="s">
        <v>163</v>
      </c>
      <c r="C80" s="138" t="s">
        <v>159</v>
      </c>
      <c r="D80" s="209" t="s">
        <v>495</v>
      </c>
    </row>
    <row r="81" spans="1:4" ht="13.5" thickBot="1">
      <c r="A81" s="162" t="s">
        <v>478</v>
      </c>
      <c r="B81" s="138" t="s">
        <v>163</v>
      </c>
      <c r="C81" s="138" t="s">
        <v>257</v>
      </c>
      <c r="D81" s="209" t="s">
        <v>495</v>
      </c>
    </row>
    <row r="82" spans="1:4" ht="51.75" thickBot="1">
      <c r="A82" s="162" t="s">
        <v>474</v>
      </c>
      <c r="B82" s="138" t="s">
        <v>163</v>
      </c>
      <c r="C82" s="138" t="s">
        <v>156</v>
      </c>
      <c r="D82" s="161" t="s">
        <v>82</v>
      </c>
    </row>
    <row r="83" spans="1:4" ht="13.5" thickBot="1">
      <c r="A83" s="162" t="s">
        <v>475</v>
      </c>
      <c r="B83" s="138" t="s">
        <v>163</v>
      </c>
      <c r="C83" s="138" t="s">
        <v>165</v>
      </c>
      <c r="D83" s="209" t="s">
        <v>495</v>
      </c>
    </row>
    <row r="84" spans="1:4" ht="13.5" thickBot="1">
      <c r="A84" s="162" t="s">
        <v>480</v>
      </c>
      <c r="B84" s="138" t="s">
        <v>163</v>
      </c>
      <c r="C84" s="138" t="s">
        <v>163</v>
      </c>
      <c r="D84" s="209" t="s">
        <v>495</v>
      </c>
    </row>
    <row r="85" spans="1:4" ht="13.5" thickBot="1">
      <c r="A85" s="162" t="s">
        <v>482</v>
      </c>
      <c r="B85" s="138" t="s">
        <v>163</v>
      </c>
      <c r="C85" s="138" t="s">
        <v>296</v>
      </c>
      <c r="D85" s="209" t="s">
        <v>495</v>
      </c>
    </row>
    <row r="86" spans="1:4" ht="13.5" thickBot="1">
      <c r="A86" s="162" t="s">
        <v>479</v>
      </c>
      <c r="B86" s="138" t="s">
        <v>163</v>
      </c>
      <c r="C86" s="138" t="s">
        <v>161</v>
      </c>
      <c r="D86" s="209" t="s">
        <v>495</v>
      </c>
    </row>
    <row r="87" spans="1:4" ht="13.5" thickBot="1">
      <c r="A87" s="162" t="s">
        <v>481</v>
      </c>
      <c r="B87" s="138" t="s">
        <v>163</v>
      </c>
      <c r="C87" s="138" t="s">
        <v>164</v>
      </c>
      <c r="D87" s="209" t="s">
        <v>495</v>
      </c>
    </row>
    <row r="88" spans="1:4" ht="13.5" thickBot="1">
      <c r="A88" s="162" t="s">
        <v>483</v>
      </c>
      <c r="B88" s="138" t="s">
        <v>163</v>
      </c>
      <c r="C88" s="138" t="s">
        <v>150</v>
      </c>
      <c r="D88" s="209" t="s">
        <v>495</v>
      </c>
    </row>
    <row r="89" spans="1:4">
      <c r="A89" s="162" t="s">
        <v>476</v>
      </c>
      <c r="B89" s="138" t="s">
        <v>163</v>
      </c>
      <c r="C89" s="138" t="s">
        <v>158</v>
      </c>
      <c r="D89" s="209" t="s">
        <v>495</v>
      </c>
    </row>
    <row r="90" spans="1:4">
      <c r="A90" s="162" t="s">
        <v>366</v>
      </c>
      <c r="B90" s="138" t="s">
        <v>163</v>
      </c>
      <c r="C90" s="138" t="s">
        <v>154</v>
      </c>
      <c r="D90" s="214" t="s">
        <v>495</v>
      </c>
    </row>
    <row r="91" spans="1:4" ht="13.5" thickBot="1">
      <c r="A91" s="162" t="s">
        <v>462</v>
      </c>
      <c r="B91" s="138" t="s">
        <v>296</v>
      </c>
      <c r="C91" s="138" t="s">
        <v>256</v>
      </c>
      <c r="D91" s="214" t="s">
        <v>495</v>
      </c>
    </row>
    <row r="92" spans="1:4" ht="13.5" thickBot="1">
      <c r="A92" s="162" t="s">
        <v>466</v>
      </c>
      <c r="B92" s="138" t="s">
        <v>296</v>
      </c>
      <c r="C92" s="138" t="s">
        <v>159</v>
      </c>
      <c r="D92" s="209" t="s">
        <v>495</v>
      </c>
    </row>
    <row r="93" spans="1:4" ht="13.5" thickBot="1">
      <c r="A93" s="162" t="s">
        <v>467</v>
      </c>
      <c r="B93" s="138" t="s">
        <v>296</v>
      </c>
      <c r="C93" s="138" t="s">
        <v>257</v>
      </c>
      <c r="D93" s="209" t="s">
        <v>495</v>
      </c>
    </row>
    <row r="94" spans="1:4" ht="13.5" thickBot="1">
      <c r="A94" s="162" t="s">
        <v>463</v>
      </c>
      <c r="B94" s="138" t="s">
        <v>296</v>
      </c>
      <c r="C94" s="138" t="s">
        <v>156</v>
      </c>
      <c r="D94" s="209" t="s">
        <v>495</v>
      </c>
    </row>
    <row r="95" spans="1:4" ht="13.5" thickBot="1">
      <c r="A95" s="162" t="s">
        <v>464</v>
      </c>
      <c r="B95" s="138" t="s">
        <v>296</v>
      </c>
      <c r="C95" s="138" t="s">
        <v>165</v>
      </c>
      <c r="D95" s="209" t="s">
        <v>495</v>
      </c>
    </row>
    <row r="96" spans="1:4" ht="13.5" thickBot="1">
      <c r="A96" s="162" t="s">
        <v>469</v>
      </c>
      <c r="B96" s="138" t="s">
        <v>296</v>
      </c>
      <c r="C96" s="138" t="s">
        <v>163</v>
      </c>
      <c r="D96" s="209" t="s">
        <v>495</v>
      </c>
    </row>
    <row r="97" spans="1:4" ht="13.5" thickBot="1">
      <c r="A97" s="162" t="s">
        <v>471</v>
      </c>
      <c r="B97" s="138" t="s">
        <v>296</v>
      </c>
      <c r="C97" s="138" t="s">
        <v>296</v>
      </c>
      <c r="D97" s="209" t="s">
        <v>495</v>
      </c>
    </row>
    <row r="98" spans="1:4" ht="13.5" thickBot="1">
      <c r="A98" s="162" t="s">
        <v>468</v>
      </c>
      <c r="B98" s="138" t="s">
        <v>296</v>
      </c>
      <c r="C98" s="138" t="s">
        <v>161</v>
      </c>
      <c r="D98" s="209" t="s">
        <v>495</v>
      </c>
    </row>
    <row r="99" spans="1:4" ht="13.5" thickBot="1">
      <c r="A99" s="162" t="s">
        <v>470</v>
      </c>
      <c r="B99" s="138" t="s">
        <v>296</v>
      </c>
      <c r="C99" s="138" t="s">
        <v>164</v>
      </c>
      <c r="D99" s="209" t="s">
        <v>495</v>
      </c>
    </row>
    <row r="100" spans="1:4" ht="13.5" thickBot="1">
      <c r="A100" s="162" t="s">
        <v>472</v>
      </c>
      <c r="B100" s="138" t="s">
        <v>296</v>
      </c>
      <c r="C100" s="138" t="s">
        <v>150</v>
      </c>
      <c r="D100" s="209" t="s">
        <v>495</v>
      </c>
    </row>
    <row r="101" spans="1:4" ht="51.75" thickBot="1">
      <c r="A101" s="162" t="s">
        <v>465</v>
      </c>
      <c r="B101" s="138" t="s">
        <v>296</v>
      </c>
      <c r="C101" s="138" t="s">
        <v>158</v>
      </c>
      <c r="D101" s="161" t="s">
        <v>297</v>
      </c>
    </row>
    <row r="102" spans="1:4" ht="13.5" thickBot="1">
      <c r="A102" s="162" t="s">
        <v>368</v>
      </c>
      <c r="B102" s="138" t="s">
        <v>296</v>
      </c>
      <c r="C102" s="138" t="s">
        <v>154</v>
      </c>
      <c r="D102" s="209" t="s">
        <v>495</v>
      </c>
    </row>
    <row r="103" spans="1:4">
      <c r="A103" s="162" t="s">
        <v>440</v>
      </c>
      <c r="B103" s="138" t="s">
        <v>161</v>
      </c>
      <c r="C103" s="138" t="s">
        <v>256</v>
      </c>
      <c r="D103" s="209" t="s">
        <v>495</v>
      </c>
    </row>
    <row r="104" spans="1:4" ht="13.5" thickBot="1">
      <c r="A104" s="162" t="s">
        <v>444</v>
      </c>
      <c r="B104" s="138" t="s">
        <v>161</v>
      </c>
      <c r="C104" s="138" t="s">
        <v>159</v>
      </c>
      <c r="D104" s="214" t="s">
        <v>495</v>
      </c>
    </row>
    <row r="105" spans="1:4" ht="13.5" thickBot="1">
      <c r="A105" s="162" t="s">
        <v>445</v>
      </c>
      <c r="B105" s="138" t="s">
        <v>161</v>
      </c>
      <c r="C105" s="138" t="s">
        <v>257</v>
      </c>
      <c r="D105" s="209" t="s">
        <v>495</v>
      </c>
    </row>
    <row r="106" spans="1:4" ht="13.5" thickBot="1">
      <c r="A106" s="162" t="s">
        <v>441</v>
      </c>
      <c r="B106" s="138" t="s">
        <v>161</v>
      </c>
      <c r="C106" s="138" t="s">
        <v>156</v>
      </c>
      <c r="D106" s="209" t="s">
        <v>495</v>
      </c>
    </row>
    <row r="107" spans="1:4" ht="13.5" thickBot="1">
      <c r="A107" s="162" t="s">
        <v>442</v>
      </c>
      <c r="B107" s="138" t="s">
        <v>161</v>
      </c>
      <c r="C107" s="138" t="s">
        <v>165</v>
      </c>
      <c r="D107" s="209" t="s">
        <v>495</v>
      </c>
    </row>
    <row r="108" spans="1:4" ht="13.5" thickBot="1">
      <c r="A108" s="162" t="s">
        <v>447</v>
      </c>
      <c r="B108" s="138" t="s">
        <v>161</v>
      </c>
      <c r="C108" s="138" t="s">
        <v>163</v>
      </c>
      <c r="D108" s="209" t="s">
        <v>495</v>
      </c>
    </row>
    <row r="109" spans="1:4" ht="13.5" thickBot="1">
      <c r="A109" s="162" t="s">
        <v>449</v>
      </c>
      <c r="B109" s="138" t="s">
        <v>161</v>
      </c>
      <c r="C109" s="138" t="s">
        <v>296</v>
      </c>
      <c r="D109" s="209" t="s">
        <v>495</v>
      </c>
    </row>
    <row r="110" spans="1:4" ht="13.5" thickBot="1">
      <c r="A110" s="162" t="s">
        <v>446</v>
      </c>
      <c r="B110" s="138" t="s">
        <v>161</v>
      </c>
      <c r="C110" s="138" t="s">
        <v>161</v>
      </c>
      <c r="D110" s="209" t="s">
        <v>495</v>
      </c>
    </row>
    <row r="111" spans="1:4" ht="13.5" thickBot="1">
      <c r="A111" s="162" t="s">
        <v>448</v>
      </c>
      <c r="B111" s="138" t="s">
        <v>161</v>
      </c>
      <c r="C111" s="138" t="s">
        <v>164</v>
      </c>
      <c r="D111" s="209" t="s">
        <v>495</v>
      </c>
    </row>
    <row r="112" spans="1:4" ht="13.5" thickBot="1">
      <c r="A112" s="162" t="s">
        <v>450</v>
      </c>
      <c r="B112" s="138" t="s">
        <v>161</v>
      </c>
      <c r="C112" s="138" t="s">
        <v>150</v>
      </c>
      <c r="D112" s="209" t="s">
        <v>495</v>
      </c>
    </row>
    <row r="113" spans="1:4" ht="13.5" thickBot="1">
      <c r="A113" s="162" t="s">
        <v>443</v>
      </c>
      <c r="B113" s="138" t="s">
        <v>161</v>
      </c>
      <c r="C113" s="138" t="s">
        <v>158</v>
      </c>
      <c r="D113" s="209" t="s">
        <v>495</v>
      </c>
    </row>
    <row r="114" spans="1:4" ht="51.75" thickBot="1">
      <c r="A114" s="162" t="s">
        <v>365</v>
      </c>
      <c r="B114" s="138" t="s">
        <v>161</v>
      </c>
      <c r="C114" s="138" t="s">
        <v>154</v>
      </c>
      <c r="D114" s="161" t="s">
        <v>81</v>
      </c>
    </row>
    <row r="115" spans="1:4" ht="13.5" thickBot="1">
      <c r="A115" s="162" t="s">
        <v>451</v>
      </c>
      <c r="B115" s="138" t="s">
        <v>164</v>
      </c>
      <c r="C115" s="138" t="s">
        <v>256</v>
      </c>
      <c r="D115" s="209" t="s">
        <v>495</v>
      </c>
    </row>
    <row r="116" spans="1:4" ht="13.5" thickBot="1">
      <c r="A116" s="162" t="s">
        <v>455</v>
      </c>
      <c r="B116" s="138" t="s">
        <v>164</v>
      </c>
      <c r="C116" s="138" t="s">
        <v>159</v>
      </c>
      <c r="D116" s="209" t="s">
        <v>495</v>
      </c>
    </row>
    <row r="117" spans="1:4">
      <c r="A117" s="162" t="s">
        <v>456</v>
      </c>
      <c r="B117" s="138" t="s">
        <v>164</v>
      </c>
      <c r="C117" s="138" t="s">
        <v>257</v>
      </c>
      <c r="D117" s="209" t="s">
        <v>495</v>
      </c>
    </row>
    <row r="118" spans="1:4">
      <c r="A118" s="162" t="s">
        <v>452</v>
      </c>
      <c r="B118" s="138" t="s">
        <v>164</v>
      </c>
      <c r="C118" s="138" t="s">
        <v>156</v>
      </c>
      <c r="D118" s="214" t="s">
        <v>495</v>
      </c>
    </row>
    <row r="119" spans="1:4" ht="51">
      <c r="A119" s="162" t="s">
        <v>453</v>
      </c>
      <c r="B119" s="138" t="s">
        <v>164</v>
      </c>
      <c r="C119" s="138" t="s">
        <v>165</v>
      </c>
      <c r="D119" s="208" t="s">
        <v>215</v>
      </c>
    </row>
    <row r="120" spans="1:4">
      <c r="A120" s="162" t="s">
        <v>458</v>
      </c>
      <c r="B120" s="138" t="s">
        <v>164</v>
      </c>
      <c r="C120" s="138" t="s">
        <v>163</v>
      </c>
      <c r="D120" s="210" t="s">
        <v>495</v>
      </c>
    </row>
    <row r="121" spans="1:4">
      <c r="A121" s="162" t="s">
        <v>460</v>
      </c>
      <c r="B121" s="138" t="s">
        <v>164</v>
      </c>
      <c r="C121" s="138" t="s">
        <v>296</v>
      </c>
      <c r="D121" s="210" t="s">
        <v>495</v>
      </c>
    </row>
    <row r="122" spans="1:4">
      <c r="A122" s="162" t="s">
        <v>457</v>
      </c>
      <c r="B122" s="138" t="s">
        <v>164</v>
      </c>
      <c r="C122" s="138" t="s">
        <v>161</v>
      </c>
      <c r="D122" s="210" t="s">
        <v>495</v>
      </c>
    </row>
    <row r="123" spans="1:4">
      <c r="A123" s="162" t="s">
        <v>459</v>
      </c>
      <c r="B123" s="138" t="s">
        <v>164</v>
      </c>
      <c r="C123" s="138" t="s">
        <v>164</v>
      </c>
      <c r="D123" s="210" t="s">
        <v>495</v>
      </c>
    </row>
    <row r="124" spans="1:4">
      <c r="A124" s="162" t="s">
        <v>461</v>
      </c>
      <c r="B124" s="138" t="s">
        <v>164</v>
      </c>
      <c r="C124" s="138" t="s">
        <v>150</v>
      </c>
      <c r="D124" s="210" t="s">
        <v>495</v>
      </c>
    </row>
    <row r="125" spans="1:4">
      <c r="A125" s="162" t="s">
        <v>454</v>
      </c>
      <c r="B125" s="138" t="s">
        <v>164</v>
      </c>
      <c r="C125" s="138" t="s">
        <v>158</v>
      </c>
      <c r="D125" s="210" t="s">
        <v>495</v>
      </c>
    </row>
    <row r="126" spans="1:4">
      <c r="A126" s="162" t="s">
        <v>367</v>
      </c>
      <c r="B126" s="138" t="s">
        <v>164</v>
      </c>
      <c r="C126" s="138" t="s">
        <v>154</v>
      </c>
      <c r="D126" s="210" t="s">
        <v>495</v>
      </c>
    </row>
    <row r="127" spans="1:4">
      <c r="A127" s="162" t="s">
        <v>484</v>
      </c>
      <c r="B127" s="138" t="s">
        <v>150</v>
      </c>
      <c r="C127" s="138" t="s">
        <v>256</v>
      </c>
      <c r="D127" s="210" t="s">
        <v>495</v>
      </c>
    </row>
    <row r="128" spans="1:4" ht="38.25">
      <c r="A128" s="162" t="s">
        <v>488</v>
      </c>
      <c r="B128" s="138" t="s">
        <v>150</v>
      </c>
      <c r="C128" s="138" t="s">
        <v>159</v>
      </c>
      <c r="D128" s="216" t="s">
        <v>496</v>
      </c>
    </row>
    <row r="129" spans="1:4">
      <c r="A129" s="162" t="s">
        <v>489</v>
      </c>
      <c r="B129" s="138" t="s">
        <v>150</v>
      </c>
      <c r="C129" s="138" t="s">
        <v>257</v>
      </c>
      <c r="D129" s="214" t="s">
        <v>495</v>
      </c>
    </row>
    <row r="130" spans="1:4">
      <c r="A130" s="162" t="s">
        <v>485</v>
      </c>
      <c r="B130" s="138" t="s">
        <v>150</v>
      </c>
      <c r="C130" s="138" t="s">
        <v>156</v>
      </c>
      <c r="D130" s="210" t="s">
        <v>495</v>
      </c>
    </row>
    <row r="131" spans="1:4">
      <c r="A131" s="162" t="s">
        <v>486</v>
      </c>
      <c r="B131" s="138" t="s">
        <v>150</v>
      </c>
      <c r="C131" s="138" t="s">
        <v>165</v>
      </c>
      <c r="D131" s="210" t="s">
        <v>495</v>
      </c>
    </row>
    <row r="132" spans="1:4">
      <c r="A132" s="162" t="s">
        <v>491</v>
      </c>
      <c r="B132" s="138" t="s">
        <v>150</v>
      </c>
      <c r="C132" s="138" t="s">
        <v>163</v>
      </c>
      <c r="D132" s="210" t="s">
        <v>495</v>
      </c>
    </row>
    <row r="133" spans="1:4">
      <c r="A133" s="162" t="s">
        <v>493</v>
      </c>
      <c r="B133" s="138" t="s">
        <v>150</v>
      </c>
      <c r="C133" s="138" t="s">
        <v>296</v>
      </c>
      <c r="D133" s="210" t="s">
        <v>495</v>
      </c>
    </row>
    <row r="134" spans="1:4">
      <c r="A134" s="162" t="s">
        <v>490</v>
      </c>
      <c r="B134" s="138" t="s">
        <v>150</v>
      </c>
      <c r="C134" s="138" t="s">
        <v>161</v>
      </c>
      <c r="D134" s="210" t="s">
        <v>495</v>
      </c>
    </row>
    <row r="135" spans="1:4">
      <c r="A135" s="162" t="s">
        <v>492</v>
      </c>
      <c r="B135" s="138" t="s">
        <v>150</v>
      </c>
      <c r="C135" s="138" t="s">
        <v>164</v>
      </c>
      <c r="D135" s="210" t="s">
        <v>495</v>
      </c>
    </row>
    <row r="136" spans="1:4">
      <c r="A136" s="162" t="s">
        <v>494</v>
      </c>
      <c r="B136" s="138" t="s">
        <v>150</v>
      </c>
      <c r="C136" s="138" t="s">
        <v>150</v>
      </c>
      <c r="D136" s="210" t="s">
        <v>495</v>
      </c>
    </row>
    <row r="137" spans="1:4">
      <c r="A137" s="162" t="s">
        <v>487</v>
      </c>
      <c r="B137" s="138" t="s">
        <v>150</v>
      </c>
      <c r="C137" s="138" t="s">
        <v>158</v>
      </c>
      <c r="D137" s="210" t="s">
        <v>495</v>
      </c>
    </row>
    <row r="138" spans="1:4">
      <c r="A138" s="162" t="s">
        <v>369</v>
      </c>
      <c r="B138" s="138" t="s">
        <v>150</v>
      </c>
      <c r="C138" s="138" t="s">
        <v>154</v>
      </c>
      <c r="D138" s="210" t="s">
        <v>495</v>
      </c>
    </row>
    <row r="139" spans="1:4">
      <c r="A139" s="162" t="s">
        <v>410</v>
      </c>
      <c r="B139" s="138" t="s">
        <v>158</v>
      </c>
      <c r="C139" s="138" t="s">
        <v>256</v>
      </c>
      <c r="D139" s="210" t="s">
        <v>495</v>
      </c>
    </row>
    <row r="140" spans="1:4">
      <c r="A140" s="162" t="s">
        <v>414</v>
      </c>
      <c r="B140" s="138" t="s">
        <v>158</v>
      </c>
      <c r="C140" s="138" t="s">
        <v>159</v>
      </c>
      <c r="D140" s="210" t="s">
        <v>495</v>
      </c>
    </row>
    <row r="141" spans="1:4">
      <c r="A141" s="162" t="s">
        <v>415</v>
      </c>
      <c r="B141" s="138" t="s">
        <v>158</v>
      </c>
      <c r="C141" s="138" t="s">
        <v>257</v>
      </c>
      <c r="D141" s="210" t="s">
        <v>495</v>
      </c>
    </row>
    <row r="142" spans="1:4">
      <c r="A142" s="162" t="s">
        <v>411</v>
      </c>
      <c r="B142" s="138" t="s">
        <v>158</v>
      </c>
      <c r="C142" s="138" t="s">
        <v>156</v>
      </c>
      <c r="D142" s="210" t="s">
        <v>495</v>
      </c>
    </row>
    <row r="143" spans="1:4">
      <c r="A143" s="162" t="s">
        <v>412</v>
      </c>
      <c r="B143" s="138" t="s">
        <v>158</v>
      </c>
      <c r="C143" s="138" t="s">
        <v>165</v>
      </c>
      <c r="D143" s="214" t="s">
        <v>495</v>
      </c>
    </row>
    <row r="144" spans="1:4">
      <c r="A144" s="162" t="s">
        <v>417</v>
      </c>
      <c r="B144" s="138" t="s">
        <v>158</v>
      </c>
      <c r="C144" s="138" t="s">
        <v>163</v>
      </c>
      <c r="D144" s="210" t="s">
        <v>495</v>
      </c>
    </row>
    <row r="145" spans="1:4" ht="51">
      <c r="A145" s="162" t="str">
        <f>CONCATENATE(B145,C145)</f>
        <v>SerpienteJabalí</v>
      </c>
      <c r="B145" s="138" t="s">
        <v>158</v>
      </c>
      <c r="C145" s="138" t="s">
        <v>296</v>
      </c>
      <c r="D145" s="208" t="s">
        <v>297</v>
      </c>
    </row>
    <row r="146" spans="1:4">
      <c r="A146" s="162" t="s">
        <v>416</v>
      </c>
      <c r="B146" s="138" t="s">
        <v>158</v>
      </c>
      <c r="C146" s="138" t="s">
        <v>161</v>
      </c>
      <c r="D146" s="210" t="s">
        <v>495</v>
      </c>
    </row>
    <row r="147" spans="1:4">
      <c r="A147" s="162" t="s">
        <v>418</v>
      </c>
      <c r="B147" s="138" t="s">
        <v>158</v>
      </c>
      <c r="C147" s="138" t="s">
        <v>164</v>
      </c>
      <c r="D147" s="210" t="s">
        <v>495</v>
      </c>
    </row>
    <row r="148" spans="1:4">
      <c r="A148" s="162" t="s">
        <v>419</v>
      </c>
      <c r="B148" s="138" t="s">
        <v>158</v>
      </c>
      <c r="C148" s="138" t="s">
        <v>150</v>
      </c>
      <c r="D148" s="210" t="s">
        <v>495</v>
      </c>
    </row>
    <row r="149" spans="1:4">
      <c r="A149" s="162" t="s">
        <v>413</v>
      </c>
      <c r="B149" s="138" t="s">
        <v>158</v>
      </c>
      <c r="C149" s="138" t="s">
        <v>158</v>
      </c>
      <c r="D149" s="210" t="s">
        <v>495</v>
      </c>
    </row>
    <row r="150" spans="1:4">
      <c r="A150" s="162" t="s">
        <v>362</v>
      </c>
      <c r="B150" s="138" t="s">
        <v>158</v>
      </c>
      <c r="C150" s="138" t="s">
        <v>154</v>
      </c>
      <c r="D150" s="210" t="s">
        <v>495</v>
      </c>
    </row>
    <row r="151" spans="1:4">
      <c r="A151" s="162" t="s">
        <v>380</v>
      </c>
      <c r="B151" s="213" t="s">
        <v>154</v>
      </c>
      <c r="C151" s="138" t="s">
        <v>256</v>
      </c>
      <c r="D151" s="210" t="s">
        <v>495</v>
      </c>
    </row>
    <row r="152" spans="1:4">
      <c r="A152" s="162" t="s">
        <v>384</v>
      </c>
      <c r="B152" s="213" t="s">
        <v>154</v>
      </c>
      <c r="C152" s="138" t="s">
        <v>159</v>
      </c>
      <c r="D152" s="210" t="s">
        <v>495</v>
      </c>
    </row>
    <row r="153" spans="1:4">
      <c r="A153" s="162" t="s">
        <v>385</v>
      </c>
      <c r="B153" s="213" t="s">
        <v>154</v>
      </c>
      <c r="C153" s="138" t="s">
        <v>257</v>
      </c>
      <c r="D153" s="210" t="s">
        <v>495</v>
      </c>
    </row>
    <row r="154" spans="1:4">
      <c r="A154" s="162" t="s">
        <v>381</v>
      </c>
      <c r="B154" s="213" t="s">
        <v>154</v>
      </c>
      <c r="C154" s="138" t="s">
        <v>156</v>
      </c>
      <c r="D154" s="210" t="s">
        <v>495</v>
      </c>
    </row>
    <row r="155" spans="1:4">
      <c r="A155" s="162" t="s">
        <v>382</v>
      </c>
      <c r="B155" s="213" t="s">
        <v>154</v>
      </c>
      <c r="C155" s="138" t="s">
        <v>165</v>
      </c>
      <c r="D155" s="210" t="s">
        <v>495</v>
      </c>
    </row>
    <row r="156" spans="1:4">
      <c r="A156" s="162" t="s">
        <v>386</v>
      </c>
      <c r="B156" s="138" t="s">
        <v>154</v>
      </c>
      <c r="C156" s="138" t="s">
        <v>163</v>
      </c>
      <c r="D156" s="214" t="s">
        <v>495</v>
      </c>
    </row>
    <row r="157" spans="1:4">
      <c r="A157" s="162" t="s">
        <v>388</v>
      </c>
      <c r="B157" s="138" t="s">
        <v>154</v>
      </c>
      <c r="C157" s="138" t="s">
        <v>296</v>
      </c>
      <c r="D157" s="210" t="s">
        <v>495</v>
      </c>
    </row>
    <row r="158" spans="1:4" ht="51">
      <c r="A158" s="162" t="str">
        <f>CONCATENATE(B158,C158)</f>
        <v>TigreMono</v>
      </c>
      <c r="B158" s="138" t="s">
        <v>154</v>
      </c>
      <c r="C158" s="138" t="s">
        <v>161</v>
      </c>
      <c r="D158" s="208" t="s">
        <v>81</v>
      </c>
    </row>
    <row r="159" spans="1:4">
      <c r="A159" s="162" t="s">
        <v>387</v>
      </c>
      <c r="B159" s="138" t="s">
        <v>154</v>
      </c>
      <c r="C159" s="138" t="s">
        <v>164</v>
      </c>
      <c r="D159" s="210" t="s">
        <v>495</v>
      </c>
    </row>
    <row r="160" spans="1:4">
      <c r="A160" s="162" t="s">
        <v>389</v>
      </c>
      <c r="B160" s="138" t="s">
        <v>154</v>
      </c>
      <c r="C160" s="138" t="s">
        <v>150</v>
      </c>
      <c r="D160" s="210" t="s">
        <v>495</v>
      </c>
    </row>
    <row r="161" spans="1:4">
      <c r="A161" s="162" t="s">
        <v>383</v>
      </c>
      <c r="B161" s="213" t="s">
        <v>154</v>
      </c>
      <c r="C161" s="138" t="s">
        <v>158</v>
      </c>
      <c r="D161" s="210" t="s">
        <v>495</v>
      </c>
    </row>
    <row r="162" spans="1:4">
      <c r="A162" s="162" t="s">
        <v>359</v>
      </c>
      <c r="B162" s="213" t="s">
        <v>154</v>
      </c>
      <c r="C162" s="138" t="s">
        <v>154</v>
      </c>
      <c r="D162" s="210" t="s">
        <v>495</v>
      </c>
    </row>
    <row r="163" spans="1:4" ht="13.5" thickBot="1">
      <c r="A163" s="143"/>
      <c r="B163" s="143"/>
      <c r="C163" s="143"/>
      <c r="D163" s="144"/>
    </row>
    <row r="164" spans="1:4" ht="13.5" thickBot="1">
      <c r="A164" s="133"/>
      <c r="B164" s="133"/>
      <c r="C164" s="147" t="s">
        <v>349</v>
      </c>
      <c r="D164" s="154" t="s">
        <v>350</v>
      </c>
    </row>
    <row r="165" spans="1:4" ht="63.75">
      <c r="C165" s="145" t="s">
        <v>256</v>
      </c>
      <c r="D165" s="155" t="s">
        <v>346</v>
      </c>
    </row>
    <row r="166" spans="1:4" ht="63.75">
      <c r="C166" s="140" t="s">
        <v>159</v>
      </c>
      <c r="D166" s="156" t="s">
        <v>352</v>
      </c>
    </row>
    <row r="167" spans="1:4" ht="63.75">
      <c r="C167" s="140" t="s">
        <v>257</v>
      </c>
      <c r="D167" s="156" t="s">
        <v>249</v>
      </c>
    </row>
    <row r="168" spans="1:4" ht="25.5">
      <c r="C168" s="140" t="s">
        <v>296</v>
      </c>
      <c r="D168" s="156" t="s">
        <v>293</v>
      </c>
    </row>
    <row r="169" spans="1:4" ht="63.75">
      <c r="C169" s="140" t="s">
        <v>156</v>
      </c>
      <c r="D169" s="156" t="s">
        <v>250</v>
      </c>
    </row>
    <row r="170" spans="1:4" ht="63.75">
      <c r="C170" s="140" t="s">
        <v>165</v>
      </c>
      <c r="D170" s="156" t="s">
        <v>347</v>
      </c>
    </row>
    <row r="171" spans="1:4" ht="51">
      <c r="C171" s="140" t="s">
        <v>163</v>
      </c>
      <c r="D171" s="156" t="s">
        <v>291</v>
      </c>
    </row>
    <row r="172" spans="1:4" ht="63.75">
      <c r="C172" s="140" t="s">
        <v>161</v>
      </c>
      <c r="D172" s="156" t="s">
        <v>351</v>
      </c>
    </row>
    <row r="173" spans="1:4" ht="25.5">
      <c r="C173" s="140" t="s">
        <v>164</v>
      </c>
      <c r="D173" s="156" t="s">
        <v>292</v>
      </c>
    </row>
    <row r="174" spans="1:4" ht="63.75">
      <c r="C174" s="140" t="s">
        <v>150</v>
      </c>
      <c r="D174" s="156" t="s">
        <v>294</v>
      </c>
    </row>
    <row r="175" spans="1:4" ht="76.5">
      <c r="C175" s="140" t="s">
        <v>158</v>
      </c>
      <c r="D175" s="156" t="s">
        <v>348</v>
      </c>
    </row>
    <row r="176" spans="1:4" ht="64.5" thickBot="1">
      <c r="C176" s="141" t="s">
        <v>154</v>
      </c>
      <c r="D176" s="157" t="s">
        <v>251</v>
      </c>
    </row>
  </sheetData>
  <mergeCells count="5">
    <mergeCell ref="D17:D18"/>
    <mergeCell ref="A17:A18"/>
    <mergeCell ref="A2:B2"/>
    <mergeCell ref="C2:C3"/>
    <mergeCell ref="B17:C18"/>
  </mergeCells>
  <phoneticPr fontId="11" type="noConversion"/>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B1" workbookViewId="0">
      <selection sqref="A1:F1"/>
    </sheetView>
  </sheetViews>
  <sheetFormatPr baseColWidth="10" defaultRowHeight="12.75"/>
  <cols>
    <col min="1" max="12" width="69.5703125" customWidth="1"/>
  </cols>
  <sheetData>
    <row r="1" spans="1:12" s="31" customFormat="1" ht="13.5" thickBot="1">
      <c r="A1" s="67" t="s">
        <v>150</v>
      </c>
      <c r="B1" s="67" t="s">
        <v>256</v>
      </c>
      <c r="C1" s="67" t="s">
        <v>154</v>
      </c>
      <c r="D1" s="67" t="s">
        <v>156</v>
      </c>
      <c r="E1" s="67" t="s">
        <v>165</v>
      </c>
      <c r="F1" s="67" t="s">
        <v>158</v>
      </c>
      <c r="G1" s="67" t="s">
        <v>159</v>
      </c>
      <c r="H1" s="67" t="s">
        <v>257</v>
      </c>
      <c r="I1" s="67" t="s">
        <v>161</v>
      </c>
      <c r="J1" s="67" t="s">
        <v>163</v>
      </c>
      <c r="K1" s="67" t="s">
        <v>164</v>
      </c>
      <c r="L1" s="67" t="s">
        <v>296</v>
      </c>
    </row>
    <row r="2" spans="1:12">
      <c r="A2" s="68"/>
      <c r="B2" s="68"/>
      <c r="C2" s="68"/>
      <c r="D2" s="68"/>
      <c r="E2" s="68"/>
      <c r="F2" s="68"/>
      <c r="G2" s="68"/>
      <c r="H2" s="68"/>
      <c r="I2" s="68"/>
      <c r="J2" s="68"/>
      <c r="K2" s="68"/>
      <c r="L2" s="68"/>
    </row>
    <row r="3" spans="1:12" ht="139.5" customHeight="1">
      <c r="A3" s="69" t="s">
        <v>9</v>
      </c>
      <c r="B3" s="69" t="s">
        <v>4</v>
      </c>
      <c r="C3" s="69" t="s">
        <v>511</v>
      </c>
      <c r="D3" s="69" t="s">
        <v>133</v>
      </c>
      <c r="E3" s="69" t="s">
        <v>196</v>
      </c>
      <c r="F3" s="69" t="s">
        <v>331</v>
      </c>
      <c r="G3" s="69" t="s">
        <v>356</v>
      </c>
      <c r="H3" s="69" t="s">
        <v>12</v>
      </c>
      <c r="I3" s="69" t="s">
        <v>202</v>
      </c>
      <c r="J3" s="69" t="s">
        <v>332</v>
      </c>
      <c r="K3" s="69" t="s">
        <v>226</v>
      </c>
      <c r="L3" s="69" t="s">
        <v>135</v>
      </c>
    </row>
    <row r="4" spans="1:12">
      <c r="A4" s="70"/>
      <c r="B4" s="70"/>
      <c r="C4" s="70"/>
      <c r="D4" s="70"/>
      <c r="E4" s="70"/>
      <c r="F4" s="70"/>
      <c r="G4" s="70"/>
      <c r="H4" s="70"/>
      <c r="I4" s="70"/>
      <c r="J4" s="70"/>
      <c r="K4" s="70"/>
      <c r="L4" s="70"/>
    </row>
    <row r="5" spans="1:12" ht="193.5" customHeight="1">
      <c r="A5" s="69" t="s">
        <v>314</v>
      </c>
      <c r="B5" s="69" t="s">
        <v>132</v>
      </c>
      <c r="C5" s="69" t="s">
        <v>225</v>
      </c>
      <c r="D5" s="69" t="s">
        <v>195</v>
      </c>
      <c r="E5" s="69" t="s">
        <v>129</v>
      </c>
      <c r="F5" s="69" t="s">
        <v>355</v>
      </c>
      <c r="G5" s="69" t="s">
        <v>77</v>
      </c>
      <c r="H5" s="69" t="s">
        <v>31</v>
      </c>
      <c r="I5" s="69" t="s">
        <v>32</v>
      </c>
      <c r="J5" s="69" t="s">
        <v>267</v>
      </c>
      <c r="K5" s="69" t="s">
        <v>236</v>
      </c>
      <c r="L5" s="69" t="s">
        <v>11</v>
      </c>
    </row>
    <row r="6" spans="1:12">
      <c r="A6" s="70"/>
      <c r="B6" s="70"/>
      <c r="C6" s="70"/>
      <c r="D6" s="70"/>
      <c r="E6" s="70"/>
      <c r="F6" s="70"/>
      <c r="G6" s="70"/>
      <c r="H6" s="70"/>
      <c r="I6" s="70"/>
      <c r="J6" s="70"/>
      <c r="K6" s="70"/>
      <c r="L6" s="70"/>
    </row>
    <row r="7" spans="1:12" ht="119.25" customHeight="1">
      <c r="A7" s="69" t="s">
        <v>130</v>
      </c>
      <c r="B7" s="69" t="s">
        <v>131</v>
      </c>
      <c r="C7" s="69" t="s">
        <v>353</v>
      </c>
      <c r="D7" s="69" t="s">
        <v>30</v>
      </c>
      <c r="E7" s="69" t="s">
        <v>29</v>
      </c>
      <c r="F7" s="69" t="s">
        <v>0</v>
      </c>
      <c r="G7" s="69" t="s">
        <v>354</v>
      </c>
      <c r="H7" s="69" t="s">
        <v>1</v>
      </c>
      <c r="I7" s="69" t="s">
        <v>19</v>
      </c>
      <c r="J7" s="69" t="s">
        <v>2</v>
      </c>
      <c r="K7" s="69" t="s">
        <v>237</v>
      </c>
      <c r="L7" s="69" t="s">
        <v>238</v>
      </c>
    </row>
    <row r="8" spans="1:12">
      <c r="A8" s="70"/>
      <c r="B8" s="70"/>
      <c r="C8" s="70"/>
      <c r="D8" s="70"/>
      <c r="E8" s="70"/>
      <c r="F8" s="70"/>
      <c r="G8" s="70"/>
      <c r="H8" s="70"/>
      <c r="I8" s="70"/>
      <c r="J8" s="70"/>
      <c r="K8" s="70"/>
      <c r="L8" s="70"/>
    </row>
    <row r="9" spans="1:12" s="35" customFormat="1" ht="14.25" customHeight="1">
      <c r="A9" s="72" t="s">
        <v>239</v>
      </c>
      <c r="B9" s="72" t="s">
        <v>3</v>
      </c>
      <c r="C9" s="72" t="s">
        <v>240</v>
      </c>
      <c r="D9" s="72" t="s">
        <v>241</v>
      </c>
      <c r="E9" s="72" t="s">
        <v>242</v>
      </c>
      <c r="F9" s="72" t="s">
        <v>243</v>
      </c>
      <c r="G9" s="72" t="s">
        <v>244</v>
      </c>
      <c r="H9" s="72" t="s">
        <v>245</v>
      </c>
      <c r="I9" s="72" t="s">
        <v>246</v>
      </c>
      <c r="J9" s="72" t="s">
        <v>247</v>
      </c>
      <c r="K9" s="72" t="s">
        <v>248</v>
      </c>
      <c r="L9" s="72" t="s">
        <v>134</v>
      </c>
    </row>
    <row r="10" spans="1:12">
      <c r="A10" s="70"/>
      <c r="B10" s="70"/>
      <c r="C10" s="70"/>
      <c r="D10" s="70"/>
      <c r="E10" s="70"/>
      <c r="F10" s="70"/>
      <c r="G10" s="70"/>
      <c r="H10" s="70"/>
      <c r="I10" s="70"/>
      <c r="J10" s="70"/>
      <c r="K10" s="70"/>
      <c r="L10" s="70"/>
    </row>
    <row r="11" spans="1:12" ht="132.75" customHeight="1">
      <c r="A11" s="69" t="s">
        <v>180</v>
      </c>
      <c r="B11" s="69" t="s">
        <v>181</v>
      </c>
      <c r="C11" s="69" t="s">
        <v>75</v>
      </c>
      <c r="D11" s="69" t="s">
        <v>76</v>
      </c>
      <c r="E11" s="69" t="s">
        <v>324</v>
      </c>
      <c r="F11" s="69" t="s">
        <v>325</v>
      </c>
      <c r="G11" s="69" t="s">
        <v>326</v>
      </c>
      <c r="H11" s="69" t="s">
        <v>327</v>
      </c>
      <c r="I11" s="69" t="s">
        <v>328</v>
      </c>
      <c r="J11" s="69" t="s">
        <v>329</v>
      </c>
      <c r="K11" s="69" t="s">
        <v>290</v>
      </c>
      <c r="L11" s="69" t="s">
        <v>90</v>
      </c>
    </row>
    <row r="12" spans="1:12" ht="13.5" thickBot="1">
      <c r="A12" s="71"/>
      <c r="B12" s="71"/>
      <c r="C12" s="71"/>
      <c r="D12" s="71"/>
      <c r="E12" s="71"/>
      <c r="F12" s="71"/>
      <c r="G12" s="71"/>
      <c r="H12" s="71"/>
      <c r="I12" s="71"/>
      <c r="J12" s="71"/>
      <c r="K12" s="71"/>
      <c r="L12" s="71"/>
    </row>
    <row r="13" spans="1:12">
      <c r="A13">
        <v>1</v>
      </c>
      <c r="B13">
        <v>2</v>
      </c>
      <c r="C13">
        <v>3</v>
      </c>
      <c r="D13">
        <v>4</v>
      </c>
      <c r="E13">
        <v>5</v>
      </c>
      <c r="F13">
        <v>6</v>
      </c>
      <c r="G13">
        <v>7</v>
      </c>
      <c r="H13">
        <v>8</v>
      </c>
      <c r="I13">
        <v>9</v>
      </c>
      <c r="J13">
        <v>10</v>
      </c>
      <c r="K13">
        <v>11</v>
      </c>
      <c r="L13">
        <v>12</v>
      </c>
    </row>
  </sheetData>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E2" sqref="E2"/>
    </sheetView>
  </sheetViews>
  <sheetFormatPr baseColWidth="10" defaultRowHeight="12.75"/>
  <cols>
    <col min="1" max="1" width="11.42578125" style="178"/>
    <col min="2" max="2" width="16.7109375" customWidth="1"/>
    <col min="3" max="3" width="17.28515625" customWidth="1"/>
  </cols>
  <sheetData>
    <row r="1" spans="1:3" s="31" customFormat="1" ht="13.5" thickBot="1">
      <c r="A1" s="230" t="s">
        <v>91</v>
      </c>
      <c r="B1" s="229" t="s">
        <v>507</v>
      </c>
      <c r="C1" s="228" t="s">
        <v>510</v>
      </c>
    </row>
    <row r="2" spans="1:3" ht="90" customHeight="1">
      <c r="A2" s="226" t="s">
        <v>497</v>
      </c>
      <c r="B2" s="227"/>
      <c r="C2" s="225"/>
    </row>
    <row r="3" spans="1:3" ht="90" customHeight="1">
      <c r="A3" s="217" t="s">
        <v>509</v>
      </c>
      <c r="B3" s="221"/>
      <c r="C3" s="223"/>
    </row>
    <row r="4" spans="1:3" ht="90" customHeight="1">
      <c r="A4" s="217" t="s">
        <v>498</v>
      </c>
      <c r="B4" s="221"/>
      <c r="C4" s="223"/>
    </row>
    <row r="5" spans="1:3" ht="90" customHeight="1">
      <c r="A5" s="217" t="s">
        <v>499</v>
      </c>
      <c r="B5" s="221"/>
      <c r="C5" s="223"/>
    </row>
    <row r="6" spans="1:3" ht="90" customHeight="1">
      <c r="A6" s="217" t="s">
        <v>500</v>
      </c>
      <c r="B6" s="221"/>
      <c r="C6" s="223"/>
    </row>
    <row r="7" spans="1:3" ht="90" customHeight="1">
      <c r="A7" s="217" t="s">
        <v>501</v>
      </c>
      <c r="B7" s="221"/>
      <c r="C7" s="223"/>
    </row>
    <row r="8" spans="1:3" ht="90" customHeight="1">
      <c r="A8" s="217" t="s">
        <v>502</v>
      </c>
      <c r="B8" s="221"/>
      <c r="C8" s="223"/>
    </row>
    <row r="9" spans="1:3" ht="90" customHeight="1">
      <c r="A9" s="217" t="s">
        <v>503</v>
      </c>
      <c r="B9" s="221"/>
      <c r="C9" s="223"/>
    </row>
    <row r="10" spans="1:3" ht="90" customHeight="1">
      <c r="A10" s="217" t="s">
        <v>504</v>
      </c>
      <c r="B10" s="221"/>
      <c r="C10" s="223"/>
    </row>
    <row r="11" spans="1:3" ht="90" customHeight="1">
      <c r="A11" s="217" t="s">
        <v>505</v>
      </c>
      <c r="B11" s="221"/>
      <c r="C11" s="223"/>
    </row>
    <row r="12" spans="1:3" ht="90" customHeight="1">
      <c r="A12" s="217" t="s">
        <v>506</v>
      </c>
      <c r="B12" s="221"/>
      <c r="C12" s="223"/>
    </row>
    <row r="13" spans="1:3" ht="90" customHeight="1" thickBot="1">
      <c r="A13" s="218" t="s">
        <v>508</v>
      </c>
      <c r="B13" s="222"/>
      <c r="C13" s="224"/>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7" workbookViewId="0"/>
  </sheetViews>
  <sheetFormatPr baseColWidth="10" defaultRowHeight="12.75"/>
  <cols>
    <col min="3" max="3" width="68.7109375" customWidth="1"/>
  </cols>
  <sheetData>
    <row r="1" spans="1:3" ht="127.5">
      <c r="A1" s="198">
        <v>1</v>
      </c>
      <c r="B1" s="198" t="s">
        <v>184</v>
      </c>
      <c r="C1" s="169" t="s">
        <v>194</v>
      </c>
    </row>
    <row r="2" spans="1:3" ht="127.5">
      <c r="A2" s="198">
        <v>2</v>
      </c>
      <c r="B2" s="198" t="s">
        <v>185</v>
      </c>
      <c r="C2" s="169" t="s">
        <v>186</v>
      </c>
    </row>
    <row r="3" spans="1:3" ht="76.5">
      <c r="A3" s="198">
        <v>3</v>
      </c>
      <c r="B3" s="198" t="s">
        <v>187</v>
      </c>
      <c r="C3" s="169" t="s">
        <v>188</v>
      </c>
    </row>
    <row r="4" spans="1:3" ht="76.5">
      <c r="A4" s="198">
        <v>4</v>
      </c>
      <c r="B4" s="198" t="s">
        <v>187</v>
      </c>
      <c r="C4" s="169" t="s">
        <v>270</v>
      </c>
    </row>
    <row r="5" spans="1:3" ht="102">
      <c r="A5" s="198">
        <v>5</v>
      </c>
      <c r="B5" s="198" t="s">
        <v>185</v>
      </c>
      <c r="C5" s="169" t="s">
        <v>271</v>
      </c>
    </row>
    <row r="6" spans="1:3" ht="102">
      <c r="A6" s="198">
        <v>6</v>
      </c>
      <c r="B6" s="198" t="s">
        <v>189</v>
      </c>
      <c r="C6" s="169" t="s">
        <v>190</v>
      </c>
    </row>
    <row r="7" spans="1:3" ht="76.5">
      <c r="A7" s="198">
        <v>7</v>
      </c>
      <c r="B7" s="198" t="s">
        <v>189</v>
      </c>
      <c r="C7" s="169" t="s">
        <v>191</v>
      </c>
    </row>
    <row r="8" spans="1:3" ht="63.75">
      <c r="A8" s="198">
        <v>8</v>
      </c>
      <c r="B8" s="198" t="s">
        <v>185</v>
      </c>
      <c r="C8" s="169" t="s">
        <v>272</v>
      </c>
    </row>
    <row r="9" spans="1:3" ht="102">
      <c r="A9" s="198">
        <v>9</v>
      </c>
      <c r="B9" s="198" t="s">
        <v>192</v>
      </c>
      <c r="C9" s="169" t="s">
        <v>193</v>
      </c>
    </row>
  </sheetData>
  <phoneticPr fontId="11"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58" workbookViewId="0"/>
  </sheetViews>
  <sheetFormatPr baseColWidth="10" defaultRowHeight="12.75"/>
  <cols>
    <col min="1" max="2" width="11.42578125" style="18" customWidth="1"/>
    <col min="5" max="7" width="60.7109375" customWidth="1"/>
    <col min="8" max="8" width="15.5703125" style="178" bestFit="1" customWidth="1"/>
    <col min="9" max="10" width="60.7109375" customWidth="1"/>
  </cols>
  <sheetData>
    <row r="1" spans="1:10">
      <c r="A1" s="165">
        <f>+Ki!I19</f>
        <v>2</v>
      </c>
      <c r="B1" s="165">
        <f ca="1">+Ki!U19</f>
        <v>2</v>
      </c>
      <c r="C1" s="165">
        <f ca="1">+Ki!AG19</f>
        <v>5</v>
      </c>
      <c r="D1" s="165" t="s">
        <v>318</v>
      </c>
      <c r="E1" s="18">
        <f>IF(A1&gt;A2,VALUE(CONCATENATE(TEXT(A2,"##0"),TEXT(A1,"##0"))),VALUE(CONCATENATE(TEXT(A1,"##0"),TEXT(A2,"##0"))))</f>
        <v>23</v>
      </c>
      <c r="F1" s="18">
        <f ca="1">IF(B1&gt;B2,VALUE(CONCATENATE(TEXT(B2,"##0"),TEXT(B1,"##0"))),VALUE(CONCATENATE(TEXT(B1,"##0"),TEXT(B2,"##0"))))</f>
        <v>28</v>
      </c>
      <c r="G1" s="18">
        <f ca="1">IF(C1&gt;C2,VALUE(CONCATENATE(TEXT(C2,"##0"),TEXT(C1,"##0"))),VALUE(CONCATENATE(TEXT(C1,"##0"),TEXT(C2,"##0"))))</f>
        <v>56</v>
      </c>
      <c r="I1" s="18"/>
      <c r="J1" s="18"/>
    </row>
    <row r="2" spans="1:10">
      <c r="A2" s="166">
        <f>+Ki!AL5</f>
        <v>3</v>
      </c>
      <c r="B2" s="166">
        <f>+Ki!AL6</f>
        <v>8</v>
      </c>
      <c r="C2" s="166">
        <f>+Ki!AL7</f>
        <v>6</v>
      </c>
      <c r="D2" s="166" t="s">
        <v>319</v>
      </c>
      <c r="E2" s="18" t="str">
        <f>IF(A1&gt;A2,CONCATENATE(D2," ",D1),CONCATENATE(D1," ",D2))</f>
        <v>usted su pareja</v>
      </c>
      <c r="F2" s="18" t="str">
        <f ca="1">IF(B1&gt;B2,CONCATENATE(D2," ",D1),CONCATENATE(D1," ",D2))</f>
        <v>usted su pareja</v>
      </c>
      <c r="G2" s="18" t="str">
        <f ca="1">IF(C1&gt;C2,CONCATENATE(D2," ",D1),CONCATENATE(D1," ",D2))</f>
        <v>usted su pareja</v>
      </c>
      <c r="I2" s="18"/>
      <c r="J2" s="18"/>
    </row>
    <row r="3" spans="1:10" ht="65.099999999999994" customHeight="1">
      <c r="E3" s="169" t="str">
        <f>VLOOKUP(E1,$D$7:$G$49,2)</f>
        <v>En personalidad, usted imprimirá el cariño y la imagen de soliradidad, mientras que su pareja provee alegría y frescura, así como creatividad a la relación.</v>
      </c>
      <c r="F3" s="168" t="str">
        <f ca="1">VLOOKUP(F1,$D$7:$G$49,3)</f>
        <v>En personalidad ambos se divierten y apoyan, su pareja es divertido y juguetón, mientras que usted calma sus impulsos por medio de su suavidad.</v>
      </c>
      <c r="G3" s="169" t="str">
        <f ca="1">VLOOKUP(G1,$D$7:$G$49,4)</f>
        <v>En el número energético son una combinación muy poderosa. Impresionan con su imagen de prestigio, poder y seguridad.</v>
      </c>
      <c r="H3" s="178" t="str">
        <f>VLOOKUP(E1,$D$7:$I$49,5)</f>
        <v>tierra-madera</v>
      </c>
      <c r="I3" s="169" t="str">
        <f>VLOOKUP(E1,$D$7:$I$49,6)</f>
        <v>La impulsividad de la madera puede destruir el romanticismo de la tierra. Se atraen con mucha fuerza, pero les cuesta trabajo comunicarse.</v>
      </c>
      <c r="J3" s="169"/>
    </row>
    <row r="6" spans="1:10" s="35" customFormat="1">
      <c r="E6" s="31" t="s">
        <v>315</v>
      </c>
      <c r="F6" s="31" t="s">
        <v>316</v>
      </c>
      <c r="G6" s="31" t="s">
        <v>317</v>
      </c>
      <c r="H6" s="178"/>
      <c r="I6" s="31"/>
      <c r="J6" s="31"/>
    </row>
    <row r="7" spans="1:10" s="35" customFormat="1" ht="242.25">
      <c r="D7" s="31">
        <v>0</v>
      </c>
      <c r="E7" s="174" t="s">
        <v>214</v>
      </c>
      <c r="F7" s="174" t="s">
        <v>229</v>
      </c>
      <c r="G7" s="174" t="s">
        <v>229</v>
      </c>
      <c r="H7" s="178"/>
      <c r="I7" s="180" t="s">
        <v>222</v>
      </c>
      <c r="J7" s="174" t="s">
        <v>260</v>
      </c>
    </row>
    <row r="8" spans="1:10" s="175" customFormat="1" ht="65.099999999999994" customHeight="1">
      <c r="A8" s="171"/>
      <c r="B8" s="171"/>
      <c r="C8" s="172"/>
      <c r="D8" s="173">
        <v>11</v>
      </c>
      <c r="E8" s="174" t="s">
        <v>268</v>
      </c>
      <c r="F8" s="174" t="s">
        <v>269</v>
      </c>
      <c r="G8" s="174" t="s">
        <v>265</v>
      </c>
      <c r="H8" s="179" t="s">
        <v>312</v>
      </c>
      <c r="I8" s="174" t="s">
        <v>310</v>
      </c>
      <c r="J8" s="174"/>
    </row>
    <row r="9" spans="1:10" s="175" customFormat="1" ht="65.099999999999994" customHeight="1">
      <c r="A9" s="176"/>
      <c r="B9" s="176"/>
      <c r="D9" s="173">
        <v>12</v>
      </c>
      <c r="E9" s="174" t="str">
        <f>CONCATENATE("En el número principal ",IF(A1=2,D1,D2)," representa a una persona que representa estabilidad y cariño a ",IF(A1=1,D1,D2),", lo ayuda a controlar sus impulsos y espíritu aventurero, sin embargo, si ",IF(A1=2,D1,D2)," se extralimita puede llegar a detener la naturaleza soñadora de ",IF(A1=1,D1,D2)," y provocarle sensación de frustración.")</f>
        <v>En el número principal usted representa a una persona que representa estabilidad y cariño a su pareja, lo ayuda a controlar sus impulsos y espíritu aventurero, sin embargo, si usted se extralimita puede llegar a detener la naturaleza soñadora de su pareja y provocarle sensación de frustración.</v>
      </c>
      <c r="F9" s="177" t="str">
        <f ca="1">CONCATENATE("Esta relación en carácter puede ser una buena relación ya que ",IF(B1=2,D1,D2)," provee ternura y cuidado y ",IF(B1=1,D1,D2)," provee el romanticismo y la aventura en la sexualidad.")</f>
        <v>Esta relación en carácter puede ser una buena relación ya que usted provee ternura y cuidado y su pareja provee el romanticismo y la aventura en la sexualidad.</v>
      </c>
      <c r="G9" s="177" t="str">
        <f ca="1">CONCATENATE("En el número energético significan una combinación opuesta, ya que ",IF(C1=2,D1,D2)," es terrenal, ",IF(C1=1,D1,D2)," es soñador y volátil.")</f>
        <v>En el número energético significan una combinación opuesta, ya que su pareja es terrenal, su pareja es soñador y volátil.</v>
      </c>
      <c r="H9" s="178" t="s">
        <v>313</v>
      </c>
      <c r="I9" s="177" t="s">
        <v>198</v>
      </c>
      <c r="J9" s="177"/>
    </row>
    <row r="10" spans="1:10" s="175" customFormat="1" ht="65.099999999999994" customHeight="1">
      <c r="A10" s="176"/>
      <c r="B10" s="176"/>
      <c r="D10" s="173">
        <v>13</v>
      </c>
      <c r="E10" s="174" t="str">
        <f>CONCATENATE("En personalidad ",IF(A1=1,D1,D2)," apoya e impulsa a ",IF(A1= 3,D1,D2)," , disfruta de su vitalidad, mientras ",IF(A1=3,D1,D2)," se nutre de la profundidad y objetividad de ",IF(A1=1,D1,D2),".")</f>
        <v>En personalidad su pareja apoya e impulsa a su pareja , disfruta de su vitalidad, mientras su pareja se nutre de la profundidad y objetividad de su pareja.</v>
      </c>
      <c r="F10" s="174" t="str">
        <f ca="1">CONCATENATE("En el carácter ",IF(B1= 3,D1,D2)," resalta sobre ",IF(B1=1,D1,D2)," ya que ",IF(B1=3,D1,D2)," es impulsivo y franco y ",IF(B1=3,D1,D2)," es reservado y prudente.")</f>
        <v>En el carácter su pareja resalta sobre su pareja ya que su pareja es impulsivo y franco y su pareja es reservado y prudente.</v>
      </c>
      <c r="G10" s="174" t="str">
        <f ca="1">CONCATENATE("En el número energético ",IF(C1=1,D1,D2)," impulsa a ",IF(C1=3,D1,D2)," a logra sus metas a través de su suavidad. Mientras que ",IF(C1=3,D1,D2)," inspira a ",IF(C1=1,D1,D2)," a crecer.")</f>
        <v>En el número energético su pareja impulsa a su pareja a logra sus metas a través de su suavidad. Mientras que su pareja inspira a su pareja a crecer.</v>
      </c>
      <c r="H10" s="178" t="s">
        <v>44</v>
      </c>
      <c r="I10" s="174" t="s">
        <v>311</v>
      </c>
      <c r="J10" s="174"/>
    </row>
    <row r="11" spans="1:10" s="175" customFormat="1" ht="65.099999999999994" customHeight="1">
      <c r="A11" s="176"/>
      <c r="B11" s="176"/>
      <c r="D11" s="173">
        <v>14</v>
      </c>
      <c r="E11" s="174" t="str">
        <f>CONCATENATE("En personalidad compaginan de maravilla. Son creativos y se impulsan, ",IF(A1=1,D1,D2)," aporta la aventura y ",IF(A1=4,D1,D2)," la creatividad.")</f>
        <v>En personalidad compaginan de maravilla. Son creativos y se impulsan, su pareja aporta la aventura y su pareja la creatividad.</v>
      </c>
      <c r="F11" s="174" t="str">
        <f ca="1">CONCATENATE("En el carácter, ",IF(B1=1,D1,D2)," se nutre de la actividad de ",IF(B1=4,D1,D2)," mientras que si ",IF(B1=4,D1,D2)," se estimula a través de la compañía de ",IF(B1=1,D1,D2),".")</f>
        <v>En el carácter, su pareja se nutre de la actividad de su pareja mientras que si su pareja se estimula a través de la compañía de su pareja.</v>
      </c>
      <c r="G11" s="174" t="str">
        <f ca="1">CONCATENATE("En el número energético, ",IF(C1=1,D1,D2)," impulsa y respalda a ",IF(C1=4,D1,D2)," para lograr sus objetivos, mientras que ",IF(C1=4,D1,D2)," ayuda a salir de la profundidad de sus pensamientos a ",IF(C1=1,D1,D2),", y lo impulsa a buscar el logro de sus sueños.")</f>
        <v>En el número energético, su pareja impulsa y respalda a su pareja para lograr sus objetivos, mientras que su pareja ayuda a salir de la profundidad de sus pensamientos a su pareja, y lo impulsa a buscar el logro de sus sueños.</v>
      </c>
      <c r="H11" s="178" t="s">
        <v>44</v>
      </c>
      <c r="I11" s="174" t="s">
        <v>311</v>
      </c>
      <c r="J11" s="174"/>
    </row>
    <row r="12" spans="1:10" s="175" customFormat="1" ht="65.099999999999994" customHeight="1">
      <c r="A12" s="176"/>
      <c r="B12" s="176"/>
      <c r="D12" s="173">
        <v>15</v>
      </c>
      <c r="E12" s="174" t="str">
        <f>CONCATENATE("En personalidad, ",IF(A1=1,D1,D2)," y ",IF(A1=5,D1,D2)," pueden funcionar si ",IF(A1=1,D1,D2)," deja de brillar y aprende a vivir con la popularidad de ",IF(A1=5,D1,D2),".")</f>
        <v>En personalidad, su pareja y su pareja pueden funcionar si su pareja deja de brillar y aprende a vivir con la popularidad de su pareja.</v>
      </c>
      <c r="F12" s="174" t="str">
        <f ca="1">CONCATENATE("En el carácter ",IF(B1=5,D1,D2)," puede ser dominante y  veces destructor con ",IF(B1=1,D1,D2),", quien debe recurrir a su paciencia y profundidad para defenderse del dominio de ",IF(B1=5,D1,D2),".")</f>
        <v>En el carácter su pareja puede ser dominante y  veces destructor con su pareja, quien debe recurrir a su paciencia y profundidad para defenderse del dominio de su pareja.</v>
      </c>
      <c r="G12" s="174" t="s">
        <v>266</v>
      </c>
      <c r="H12" s="178" t="s">
        <v>313</v>
      </c>
      <c r="I12" s="177" t="s">
        <v>198</v>
      </c>
      <c r="J12" s="174"/>
    </row>
    <row r="13" spans="1:10" s="175" customFormat="1" ht="65.099999999999994" customHeight="1">
      <c r="A13" s="176"/>
      <c r="B13" s="176"/>
      <c r="D13" s="173">
        <v>16</v>
      </c>
      <c r="E13" s="174" t="str">
        <f>CONCATENATE("La combinación de estas dos personalidades es buena, mientras ",IF(A1=6,D1,D2)," ayuda a ",IF(A1=1,D1,D2)," a destacar y brillar en el entorno social, ",IF(A1=1,D1,D2)," impulsará y nutrirá a ",IF(A1=6,D1,D2),".")</f>
        <v>La combinación de estas dos personalidades es buena, mientras su pareja ayuda a su pareja a destacar y brillar en el entorno social, su pareja impulsará y nutrirá a su pareja.</v>
      </c>
      <c r="F13" s="174" t="str">
        <f ca="1">CONCATENATE("En el carácter ",IF(B1=6,D1,D2)," es impulsivo y fuerte respecto a ",IF(B1=1,D1,D2),", sin embargo, ",IF(B1=1,D1,D2)," le provee sensatez, lógica y coherencia, apoyando en sus decisiones a ",IF(B1=6,D1,D2),".")</f>
        <v>En el carácter su pareja es impulsivo y fuerte respecto a su pareja, sin embargo, su pareja le provee sensatez, lógica y coherencia, apoyando en sus decisiones a su pareja.</v>
      </c>
      <c r="G13" s="174" t="str">
        <f ca="1">CONCATENATE("En el número energético ",IF(C1=1,D1,D2)," apoya a ",IF(C1=6,D1,D2)," a lograr sus metas, mientras que ",IF(C1=6,D1,D2)," provee el carácter e impulso a ",IF(C1=1,D1,D2)," para satisfacer sus deseos.")</f>
        <v>En el número energético su pareja apoya a su pareja a lograr sus metas, mientras que su pareja provee el carácter e impulso a su pareja para satisfacer sus deseos.</v>
      </c>
      <c r="H13" s="178" t="s">
        <v>45</v>
      </c>
      <c r="I13" s="174" t="s">
        <v>199</v>
      </c>
      <c r="J13" s="174"/>
    </row>
    <row r="14" spans="1:10" s="175" customFormat="1" ht="65.099999999999994" customHeight="1">
      <c r="A14" s="176"/>
      <c r="B14" s="176"/>
      <c r="D14" s="173">
        <v>17</v>
      </c>
      <c r="E14" s="174" t="str">
        <f>CONCATENATE("En personalidad ;",IF(A1=1,D1,D2)," se divierte con la alegría de ",IF(A1=7,D1,D2)," y su facilidad para manejar el dinero, ",IF(A1=7,D1,D2)," se nutre de ",IF(A1=1,D1,D2)," para adaptarse y sobre llevar los cambios.")</f>
        <v>En personalidad ;su pareja se divierte con la alegría de su pareja y su facilidad para manejar el dinero, su pareja se nutre de su pareja para adaptarse y sobre llevar los cambios.</v>
      </c>
      <c r="F14" s="174" t="str">
        <f ca="1">CONCATENATE("En el carácter se divierten se apoyan y unen la creatividad de ",IF(B1=1,D1,D2)," con la elegancia de ",IF(B1=7,D1,D2),".")</f>
        <v>En el carácter se divierten se apoyan y unen la creatividad de su pareja con la elegancia de su pareja.</v>
      </c>
      <c r="G14" s="174" t="str">
        <f ca="1">CONCATENATE("En número energético, ",IF(C1= 7,D1,D2)," impulsa a ",IF(C1=1,D1,D2)," a logra sus metas y ",IF(C1=1,D1,D2)," inspira a ",IF(C1=7,D1,D2)," a disfrutar sus logros.")</f>
        <v>En número energético, su pareja impulsa a su pareja a logra sus metas y su pareja inspira a su pareja a disfrutar sus logros.</v>
      </c>
      <c r="H14" s="178" t="s">
        <v>45</v>
      </c>
      <c r="I14" s="174" t="s">
        <v>199</v>
      </c>
      <c r="J14" s="174"/>
    </row>
    <row r="15" spans="1:10" s="175" customFormat="1" ht="65.099999999999994" customHeight="1">
      <c r="A15" s="176"/>
      <c r="B15" s="176"/>
      <c r="D15" s="173">
        <v>18</v>
      </c>
      <c r="E15" s="174" t="str">
        <f>CONCATENATE("En personalidad ",IF(A1=1,D1,D2)," opaca a ",IF(A1= 8,D1,D2),", sin embargo ",IF(A1=8,D1,D2)," puede apoyarse en la sociabilidad de ",IF(A1=1,D1,D2)," para mejorar la primera impresión que da.")</f>
        <v>En personalidad su pareja opaca a su pareja, sin embargo su pareja puede apoyarse en la sociabilidad de su pareja para mejorar la primera impresión que da.</v>
      </c>
      <c r="F15" s="174" t="str">
        <f ca="1">CONCATENATE("En el carácter ",IF(B1=8,D1,D2)," controla y domina a ",IF(B1=1,D1,D2),", si aprenden a ceder y a dialogar pueden ser una buena mancuerna.")</f>
        <v>En el carácter su pareja controla y domina a su pareja, si aprenden a ceder y a dialogar pueden ser una buena mancuerna.</v>
      </c>
      <c r="G15" s="174" t="str">
        <f ca="1">CONCATENATE("En el número energético ",IF(C1=8,D1,D2)," domina totalmente a ",IF(C1=1,D1,D2),", impidiéndole en algunos casos lograr sus objetivos y perseguir sus sueños.")</f>
        <v>En el número energético su pareja domina totalmente a su pareja, impidiéndole en algunos casos lograr sus objetivos y perseguir sus sueños.</v>
      </c>
      <c r="H15" s="178" t="s">
        <v>313</v>
      </c>
      <c r="I15" s="177" t="s">
        <v>198</v>
      </c>
      <c r="J15" s="174"/>
    </row>
    <row r="16" spans="1:10" s="175" customFormat="1" ht="65.099999999999994" customHeight="1">
      <c r="A16" s="176"/>
      <c r="B16" s="176"/>
      <c r="D16" s="173">
        <v>19</v>
      </c>
      <c r="E16" s="174" t="str">
        <f>CONCATENATE("En personalidad nos habla de dinamismo, ",IF(A1=1,D1,D2)," provee tranquilidad y calma a ",IF(A1=9,D1,D2),", mientras que ",IF(A1=9,D1,D2)," imprime el toque de diversión y fiesta a la relación.")</f>
        <v>En personalidad nos habla de dinamismo, su pareja provee tranquilidad y calma a su pareja, mientras que su pareja imprime el toque de diversión y fiesta a la relación.</v>
      </c>
      <c r="F16" s="174" t="str">
        <f ca="1">CONCATENATE("En el carácter, ",IF(B1=1,D1,D2)," domina y apaga a ",IF(B1=9,D1,D2),"; ",IF(B1=1,D1,D2)," debe ser prudente y cuidadoso o puede llegar a ofender y lastimar mucho a ",IF(B1=9,D1,D2),".")</f>
        <v>En el carácter, su pareja domina y apaga a su pareja; su pareja debe ser prudente y cuidadoso o puede llegar a ofender y lastimar mucho a su pareja.</v>
      </c>
      <c r="G16" s="174" t="str">
        <f ca="1">CONCATENATE("En el número energético ",IF(C1=1,D1,D2)," limita a ",IF(C1=9,D1,D2)," para lograr sus metas, si lo enfocan de manera positiva, ",IF(C1=1,D1,D2)," provee la objetividad a ",IF(C1=9,D1,D2),", si ",IF(C1=1,D1,D2)," controla su exceso de orgullo, ",IF(C1=9,D1,D2)," da el toque de emoción y alegría a ",IF(C1=1,D1,D2)," para alcanzar sus ideales.")</f>
        <v>En el número energético su pareja limita a su pareja para lograr sus metas, si lo enfocan de manera positiva, su pareja provee la objetividad a su pareja, si su pareja controla su exceso de orgullo, su pareja da el toque de emoción y alegría a su pareja para alcanzar sus ideales.</v>
      </c>
      <c r="H16" s="178" t="s">
        <v>46</v>
      </c>
      <c r="I16" s="174" t="s">
        <v>197</v>
      </c>
      <c r="J16" s="174"/>
    </row>
    <row r="17" spans="4:10" ht="65.099999999999994" customHeight="1">
      <c r="D17" s="167">
        <v>22</v>
      </c>
      <c r="E17" s="170" t="s">
        <v>330</v>
      </c>
      <c r="F17" s="170" t="s">
        <v>305</v>
      </c>
      <c r="G17" s="170" t="s">
        <v>306</v>
      </c>
      <c r="H17" s="178" t="s">
        <v>47</v>
      </c>
      <c r="I17" s="170" t="s">
        <v>40</v>
      </c>
      <c r="J17" s="170"/>
    </row>
    <row r="18" spans="4:10" ht="65.099999999999994" customHeight="1">
      <c r="D18" s="167">
        <v>23</v>
      </c>
      <c r="E18" s="170" t="str">
        <f>CONCATENATE("En personalidad, ",IF(A1=2,D1,D2)," imprimirá el cariño y la imagen de soliradidad, mientras que ",IF(A1=3,D1,D2)," provee alegría y frescura, así como creatividad a la relación.")</f>
        <v>En personalidad, usted imprimirá el cariño y la imagen de soliradidad, mientras que su pareja provee alegría y frescura, así como creatividad a la relación.</v>
      </c>
      <c r="F18" s="170" t="str">
        <f ca="1">CONCATENATE("En el carácter ",IF(B1=3,D1,D2)," controla mucho la timidéz de ",IF(B1=2,D1,D2)," y puede llegar a ser muy dominante, ",IF(B1=2,D1,D2)," se siente inspirado por el dinamismo de ",IF(B1=3,D1,D2))</f>
        <v>En el carácter su pareja controla mucho la timidéz de usted y puede llegar a ser muy dominante, usted se siente inspirado por el dinamismo de su pareja</v>
      </c>
      <c r="G18" s="170" t="str">
        <f ca="1">CONCATENATE("En el número energético, ",IF(C1=3,D1,D2)," siempre está creando nuevas ideas, mientras que ",IF(C1=2,D1,D2)," aporta la visión práctica, ambos pueden consolidar grandes empresas.")</f>
        <v>En el número energético, su pareja siempre está creando nuevas ideas, mientras que su pareja aporta la visión práctica, ambos pueden consolidar grandes empresas.</v>
      </c>
      <c r="H18" s="178" t="s">
        <v>48</v>
      </c>
      <c r="I18" s="170" t="s">
        <v>34</v>
      </c>
      <c r="J18" s="170"/>
    </row>
    <row r="19" spans="4:10" ht="65.099999999999994" customHeight="1">
      <c r="D19" s="167">
        <v>24</v>
      </c>
      <c r="E19" s="170" t="s">
        <v>136</v>
      </c>
      <c r="F19" s="170" t="str">
        <f ca="1">CONCATENATE("En carácter, dificilmente discutirán, si esto sucede, ",IF(B1=4,D1,D2)," dominará con suavidad la situación. Sin embargo ambos prefieren dialogar y solucionar los conflictos con amor.")</f>
        <v>En carácter, dificilmente discutirán, si esto sucede, su pareja dominará con suavidad la situación. Sin embargo ambos prefieren dialogar y solucionar los conflictos con amor.</v>
      </c>
      <c r="G19" s="170" t="s">
        <v>137</v>
      </c>
      <c r="H19" s="178" t="s">
        <v>48</v>
      </c>
      <c r="I19" s="170" t="s">
        <v>34</v>
      </c>
      <c r="J19" s="170"/>
    </row>
    <row r="20" spans="4:10" ht="65.099999999999994" customHeight="1">
      <c r="D20" s="167">
        <v>25</v>
      </c>
      <c r="E20" s="170" t="str">
        <f>CONCATENATE("En personalidad, ",IF(A1=2,D1,D2)," da estabilidad a la inquietud de ",IF(A1=5,D1,D2),", mientras que ",IF(A1=5,D1,D2)," otorga a ",IF(A1=2,D1,D2)," la facilidad de relacionarse socialmente.")</f>
        <v>En personalidad, usted da estabilidad a la inquietud de su pareja, mientras que su pareja otorga a usted la facilidad de relacionarse socialmente.</v>
      </c>
      <c r="F20" s="170" t="str">
        <f ca="1">CONCATENATE("En carácter, ",IF(B1=5,D1,D2)," disfruta de las atenciones y cuidados que ",IF(B1=2,D1,D2)," le brinda, mientras que ",IF(B1=2,D1,D2)," se contagia de la alegría y socialidad de ",IF(B1=5,D1,D2),".")</f>
        <v>En carácter, su pareja disfruta de las atenciones y cuidados que usted le brinda, mientras que usted se contagia de la alegría y socialidad de su pareja.</v>
      </c>
      <c r="G20" s="170" t="str">
        <f ca="1">CONCATENATE("En el número energético ambos son prácticos y dedicados, ",IF(C1=5,D1,D2)," es bueno para crear proyectos, mientras que ",IF(C1=2,D1,D2)," tiene la habilidad de desarrollarlos.")</f>
        <v>En el número energético ambos son prácticos y dedicados, usted es bueno para crear proyectos, mientras que su pareja tiene la habilidad de desarrollarlos.</v>
      </c>
      <c r="H20" s="178" t="s">
        <v>47</v>
      </c>
      <c r="I20" s="170" t="s">
        <v>40</v>
      </c>
      <c r="J20" s="170"/>
    </row>
    <row r="21" spans="4:10" ht="65.099999999999994" customHeight="1">
      <c r="D21" s="167">
        <v>26</v>
      </c>
      <c r="E21" s="170" t="s">
        <v>138</v>
      </c>
      <c r="F21" s="170" t="str">
        <f ca="1">CONCATENATE("En carácter, ",IF(B1=2,D1,D2)," impulsa y apoya a ",IF(B1=6,D1,D2)," para aterrizar sus proyectos, mientras que ",IF(B1=6,D1,D2)," imprime seguridad y solidez al carácter de ",IF(B1=2,D1,D2),".")</f>
        <v>En carácter, usted impulsa y apoya a su pareja para aterrizar sus proyectos, mientras que su pareja imprime seguridad y solidez al carácter de usted.</v>
      </c>
      <c r="G21" s="170" t="s">
        <v>139</v>
      </c>
      <c r="H21" s="178" t="s">
        <v>49</v>
      </c>
      <c r="I21" s="170" t="s">
        <v>41</v>
      </c>
      <c r="J21" s="170"/>
    </row>
    <row r="22" spans="4:10" ht="65.099999999999994" customHeight="1">
      <c r="D22" s="167">
        <v>27</v>
      </c>
      <c r="E22" s="170" t="str">
        <f>CONCATENATE("En personalidad, ",IF(A1=7,D1,D2)," disfruta de los cuidados y cariños de ",IF(A1=2,D1,D2)," mientras que ",IF(A1=2,D1,D2)," se divierte con la naturaleza suave de ",IF(A1=7,D1,D2),".")</f>
        <v>En personalidad, su pareja disfruta de los cuidados y cariños de usted mientras que usted se divierte con la naturaleza suave de su pareja.</v>
      </c>
      <c r="F22" s="170" t="s">
        <v>140</v>
      </c>
      <c r="G22" s="170" t="str">
        <f ca="1">CONCATENATE("En número energético, ",IF(C1=7,D1,D2)," pone cratividad al logro de sus planes, mientras que ",IF(C1=2,D1,D2)," imprime el orden y el cuidado de los detalles.")</f>
        <v>En número energético, su pareja pone cratividad al logro de sus planes, mientras que su pareja imprime el orden y el cuidado de los detalles.</v>
      </c>
      <c r="H22" s="178" t="s">
        <v>49</v>
      </c>
      <c r="I22" s="170" t="s">
        <v>41</v>
      </c>
      <c r="J22" s="170"/>
    </row>
    <row r="23" spans="4:10" ht="65.099999999999994" customHeight="1">
      <c r="D23" s="167">
        <v>28</v>
      </c>
      <c r="E23" s="170" t="s">
        <v>183</v>
      </c>
      <c r="F23" s="170" t="str">
        <f ca="1">CONCATENATE("En personalidad ambos se divierten y apoyan, ",IF(B1=8,D1,D2)," es divertido y juguetón, mientras que ",IF(B1=2,D1,D2)," calma sus impulsos por medio de su suavidad.")</f>
        <v>En personalidad ambos se divierten y apoyan, su pareja es divertido y juguetón, mientras que usted calma sus impulsos por medio de su suavidad.</v>
      </c>
      <c r="G23" s="170" t="str">
        <f ca="1">CONCATENATE("En el número energético, ",IF(C1=8,D1,D2)," toma la ventaja y el liderazgo mientras que ",IF(C1=2,D1,D2)," lo imita y lo sigue.")</f>
        <v>En el número energético, su pareja toma la ventaja y el liderazgo mientras que su pareja lo imita y lo sigue.</v>
      </c>
      <c r="H23" s="178" t="s">
        <v>47</v>
      </c>
      <c r="I23" s="170" t="s">
        <v>40</v>
      </c>
      <c r="J23" s="170"/>
    </row>
    <row r="24" spans="4:10" ht="65.099999999999994" customHeight="1">
      <c r="D24" s="167">
        <v>29</v>
      </c>
      <c r="E24" s="170" t="str">
        <f>CONCATENATE("En personalidad ",IF(A1=9,D1,D2)," representa la alegría y la espontaneidad de la relación, mientras que ",IF(A1=2,D1,D2)," representa la estabilidad y la sensatez.")</f>
        <v>En personalidad su pareja representa la alegría y la espontaneidad de la relación, mientras que usted representa la estabilidad y la sensatez.</v>
      </c>
      <c r="F24" s="170" t="str">
        <f ca="1">CONCATENATE("En el carácter ",IF(B1=9,D1,D2)," puede ser explosivo y agresivo, sin embargo ",IF(B1=2,D1,D2)," cambia sus impulsos por medio de su suavidad")</f>
        <v>En el carácter su pareja puede ser explosivo y agresivo, sin embargo usted cambia sus impulsos por medio de su suavidad</v>
      </c>
      <c r="G24" s="170" t="str">
        <f ca="1">CONCATENATE("En el número energético, ",IF(C1=2,D1,D2)," genera la estabilidad y el equilibrio que ",IF(C1=9,D1,D2)," necesita para controlar sus impulsos.")</f>
        <v>En el número energético, su pareja genera la estabilidad y el equilibrio que su pareja necesita para controlar sus impulsos.</v>
      </c>
      <c r="H24" s="178" t="s">
        <v>50</v>
      </c>
      <c r="I24" s="170" t="s">
        <v>38</v>
      </c>
      <c r="J24" s="170"/>
    </row>
    <row r="25" spans="4:10" ht="65.099999999999994" customHeight="1">
      <c r="D25" s="167">
        <v>33</v>
      </c>
      <c r="E25" s="170" t="s">
        <v>141</v>
      </c>
      <c r="F25" s="170" t="s">
        <v>307</v>
      </c>
      <c r="G25" s="170" t="s">
        <v>142</v>
      </c>
      <c r="H25" s="178" t="s">
        <v>51</v>
      </c>
      <c r="I25" s="170" t="s">
        <v>33</v>
      </c>
      <c r="J25" s="170"/>
    </row>
    <row r="26" spans="4:10" ht="65.099999999999994" customHeight="1">
      <c r="D26" s="167">
        <v>34</v>
      </c>
      <c r="E26" s="170" t="str">
        <f>CONCATENATE("En personalidad, ",IF(A1=3,D1,D2)," es entusiasta y positivo, mientras que ",IF(A1=4,D1,D2)," es romántico y soñador. Aman y comparten la acción y el deporte.")</f>
        <v>En personalidad, su pareja es entusiasta y positivo, mientras que su pareja es romántico y soñador. Aman y comparten la acción y el deporte.</v>
      </c>
      <c r="F26" s="170" t="str">
        <f ca="1">CONCATENATE("En carácter, ",IF(B1=3,D1,D2)," apoya e impulsa a ",IF(B1=4,D1,D2)," con su dinamismo, entusiasmo y positivismo, ",IF(B1=4,D1,D2)," fascina a ",IF(B1=3,D1,D2)," por su imaginación y creatividad.")</f>
        <v>En carácter, su pareja apoya e impulsa a su pareja con su dinamismo, entusiasmo y positivismo, su pareja fascina a su pareja por su imaginación y creatividad.</v>
      </c>
      <c r="G26" s="170" t="s">
        <v>13</v>
      </c>
      <c r="H26" s="178" t="s">
        <v>51</v>
      </c>
      <c r="I26" s="170" t="s">
        <v>33</v>
      </c>
      <c r="J26" s="170"/>
    </row>
    <row r="27" spans="4:10" ht="65.099999999999994" customHeight="1">
      <c r="D27" s="167">
        <v>35</v>
      </c>
      <c r="E27" s="170" t="str">
        <f>CONCATENATE("En personalidad, ",IF(A1=3,D1,D2)," aporta la ambición y la creatividad, mientras que ",IF(A1=5,D1,D2)," apoya la relación con coherencia y fuerza.")</f>
        <v>En personalidad, su pareja aporta la ambición y la creatividad, mientras que su pareja apoya la relación con coherencia y fuerza.</v>
      </c>
      <c r="F27" s="170" t="str">
        <f ca="1">CONCATENATE("En carácter, ",IF(B1=5,D1,D2)," domina a ",IF(B1=3,D1,D2),", si logran embonar y solucionar sus conflictos a través del dialogo y la comunicación forman una combinación muy poderosa.")</f>
        <v>En carácter, su pareja domina a su pareja, si logran embonar y solucionar sus conflictos a través del dialogo y la comunicación forman una combinación muy poderosa.</v>
      </c>
      <c r="G27" s="170" t="s">
        <v>14</v>
      </c>
      <c r="H27" s="178" t="s">
        <v>52</v>
      </c>
      <c r="I27" s="170" t="s">
        <v>34</v>
      </c>
      <c r="J27" s="170"/>
    </row>
    <row r="28" spans="4:10" ht="65.099999999999994" customHeight="1">
      <c r="D28" s="167">
        <v>36</v>
      </c>
      <c r="E28" s="170" t="str">
        <f>CONCATENATE("En personalidad, ",IF(A1=3,D1,D2)," es inmaduro y ",IF(A1=6,D1,D2)," lo contrario, son una combinación difícil.")</f>
        <v>En personalidad, su pareja es inmaduro y su pareja lo contrario, son una combinación difícil.</v>
      </c>
      <c r="F28" s="170" t="str">
        <f ca="1">CONCATENATE("En carácter, ",IF(B1=6,D1,D2)," puede dominar y controlar a ",IF(B1=3,D1,D2)," en exceso y provocar que se sienta limitado y detenido.")</f>
        <v>En carácter, su pareja puede dominar y controlar a su pareja en exceso y provocar que se sienta limitado y detenido.</v>
      </c>
      <c r="G28" s="170" t="str">
        <f ca="1">CONCATENATE("En número energético son autosuficientes, ",IF(C1=3,D1,D2)," es impulsivo, ",IF(C1=6,D1,D2)," es metódico. Necesitan mucha paciencia y amor el uno hacia el otro.")</f>
        <v>En número energético son autosuficientes, su pareja es impulsivo, su pareja es metódico. Necesitan mucha paciencia y amor el uno hacia el otro.</v>
      </c>
      <c r="H28" s="178" t="s">
        <v>53</v>
      </c>
      <c r="I28" s="170" t="s">
        <v>36</v>
      </c>
      <c r="J28" s="170"/>
    </row>
    <row r="29" spans="4:10" ht="65.099999999999994" customHeight="1">
      <c r="D29" s="167">
        <v>37</v>
      </c>
      <c r="E29" s="170" t="str">
        <f>CONCATENATE("En personalidad, la actividad de ",IF(A1=3,D1,D2)," estimula a ",IF(A1=7,D1,D2),", mientras que ",IF(A1=7,D1,D2)," enseña a ",IF(A1=3,D1,D2)," cómo divertirse y disfrutar la vida.")</f>
        <v>En personalidad, la actividad de su pareja estimula a su pareja, mientras que su pareja enseña a su pareja cómo divertirse y disfrutar la vida.</v>
      </c>
      <c r="F29" s="170" t="str">
        <f ca="1">CONCATENATE("En carácter pueden llevar una relación superficial, ya que en profundidad ",IF(B1=7,D1,D2)," domina a ",IF(B1=3,D1,D2),", con suavidad, pero puede hacerlo sentir limitado.")</f>
        <v>En carácter pueden llevar una relación superficial, ya que en profundidad su pareja domina a su pareja, con suavidad, pero puede hacerlo sentir limitado.</v>
      </c>
      <c r="G29" s="170" t="str">
        <f ca="1">CONCATENATE("En número energético, ",IF(C1=7,D1,D2)," apoya a ;",IF(C1=3,D1,D2)," para realizar sus expectativas.")</f>
        <v>En número energético, su pareja apoya a ;su pareja para realizar sus expectativas.</v>
      </c>
      <c r="H29" s="178" t="s">
        <v>53</v>
      </c>
      <c r="I29" s="170" t="s">
        <v>36</v>
      </c>
      <c r="J29" s="170"/>
    </row>
    <row r="30" spans="4:10" ht="65.099999999999994" customHeight="1">
      <c r="D30" s="167">
        <v>38</v>
      </c>
      <c r="E30" s="170" t="s">
        <v>15</v>
      </c>
      <c r="F30" s="170" t="s">
        <v>16</v>
      </c>
      <c r="G30" s="170" t="s">
        <v>17</v>
      </c>
      <c r="H30" s="178" t="s">
        <v>52</v>
      </c>
      <c r="I30" s="170" t="s">
        <v>34</v>
      </c>
      <c r="J30" s="170"/>
    </row>
    <row r="31" spans="4:10" ht="65.099999999999994" customHeight="1">
      <c r="D31" s="167">
        <v>39</v>
      </c>
      <c r="E31" s="170" t="str">
        <f>CONCATENATE("En personalidad son una combinación explosiva ",IF(A1=3,D1,D2)," es acelerado e impulsivo, ",IF(A1=9,D1,D2)," es vanidoso y superficial. Pueden cometer innumerables errores juntos.")</f>
        <v>En personalidad son una combinación explosiva su pareja es acelerado e impulsivo, su pareja es vanidoso y superficial. Pueden cometer innumerables errores juntos.</v>
      </c>
      <c r="F31" s="170" t="s">
        <v>18</v>
      </c>
      <c r="G31" s="170" t="str">
        <f ca="1">CONCATENATE("En número energético son un excelente equipo uniendo la creatividad de ",IF(C1=3,D1,D2)," con la habilidad de comunicación de ",IF(C1=9,D1,D2),".")</f>
        <v>En número energético son un excelente equipo uniendo la creatividad de su pareja con la habilidad de comunicación de su pareja.</v>
      </c>
      <c r="H31" s="178" t="s">
        <v>54</v>
      </c>
      <c r="I31" s="170" t="s">
        <v>35</v>
      </c>
      <c r="J31" s="170"/>
    </row>
    <row r="32" spans="4:10" ht="65.099999999999994" customHeight="1">
      <c r="D32" s="167">
        <v>44</v>
      </c>
      <c r="E32" s="170" t="s">
        <v>209</v>
      </c>
      <c r="F32" s="170" t="s">
        <v>210</v>
      </c>
      <c r="G32" s="170" t="s">
        <v>211</v>
      </c>
      <c r="H32" s="178" t="s">
        <v>51</v>
      </c>
      <c r="I32" s="170" t="s">
        <v>33</v>
      </c>
      <c r="J32" s="170"/>
    </row>
    <row r="33" spans="4:10" ht="65.099999999999994" customHeight="1">
      <c r="D33" s="167">
        <v>45</v>
      </c>
      <c r="E33" s="170" t="s">
        <v>213</v>
      </c>
      <c r="F33" s="170" t="str">
        <f ca="1">CONCATENATE("En el carácter ",IF(B1=4,D1,D2)," domina a ",IF(B1=5,D1,D2)," , aspecto que no le gusta en lo más mínimo; deben recurrir al dialogo y a la comunicación,así como evitar discusiones y guerra de vanidad y ego.")</f>
        <v>En el carácter su pareja domina a su pareja , aspecto que no le gusta en lo más mínimo; deben recurrir al dialogo y a la comunicación,así como evitar discusiones y guerra de vanidad y ego.</v>
      </c>
      <c r="G33" s="170" t="str">
        <f ca="1">CONCATENATE("En el número energético ",IF(C1=4,D1,D2)," inspira a ",IF(C1=5,D1,D2)," con su frescura y audacia, mientras que ",IF(C1=5,D1,D2)," impresiona a ",IF(C1=4,D1,D2)," con su habilidad para resolver cualquier problema y situación")</f>
        <v>En el número energético su pareja inspira a usted con su frescura y audacia, mientras que usted impresiona a su pareja con su habilidad para resolver cualquier problema y situación</v>
      </c>
      <c r="H33" s="178" t="s">
        <v>52</v>
      </c>
      <c r="I33" s="170" t="s">
        <v>34</v>
      </c>
      <c r="J33" s="170"/>
    </row>
    <row r="34" spans="4:10" ht="65.099999999999994" customHeight="1">
      <c r="D34" s="167">
        <v>46</v>
      </c>
      <c r="E34" s="170" t="str">
        <f>CONCATENATE("En personalidad ",IF(A1=4,D1,D2)," respeta la seriedad de ",IF(A1=6,D1,D2)," quien valora la alegría de ",IF(A1=4,D1,D2),".")</f>
        <v>En personalidad su pareja respeta la seriedad de su pareja quien valora la alegría de su pareja.</v>
      </c>
      <c r="F34" s="170" t="str">
        <f ca="1">CONCATENATE("En carácter se atraen por ser opuestos, y esa atracción se manifiesta en admiración, sin embargo, ",IF(B1=6,D1,D2)," puede ser destructivo para ",IF(B1=4,D1,D2)," ante situaciones de tensión.")</f>
        <v>En carácter se atraen por ser opuestos, y esa atracción se manifiesta en admiración, sin embargo, su pareja puede ser destructivo para su pareja ante situaciones de tensión.</v>
      </c>
      <c r="G34" s="170" t="str">
        <f ca="1">CONCATENATE("En el número energético, ",IF(C1=4,D1,D2)," y su creatividad estimulan a ",IF(C1=6,D1,D2),", mientrás que ",IF(C1=6,D1,D2),", estabiliza a ",IF(C1=4,D1,D2),".")</f>
        <v>En el número energético, su pareja y su creatividad estimulan a su pareja, mientrás que su pareja, estabiliza a su pareja.</v>
      </c>
      <c r="H34" s="178" t="s">
        <v>53</v>
      </c>
      <c r="I34" s="170" t="s">
        <v>36</v>
      </c>
      <c r="J34" s="170"/>
    </row>
    <row r="35" spans="4:10" ht="65.099999999999994" customHeight="1">
      <c r="D35" s="167">
        <v>47</v>
      </c>
      <c r="E35" s="170" t="s">
        <v>308</v>
      </c>
      <c r="F35" s="170" t="str">
        <f ca="1">CONCATENATE("En personalidad ambos son personas que prefieren el diálogo a las discusiones. Con elegancia y suavidad ",IF(B1=7,D1,D2)," siempre obtiene de ",IF(B1=4,D1,D2)," lo que quiere.")</f>
        <v>En personalidad ambos son personas que prefieren el diálogo a las discusiones. Con elegancia y suavidad su pareja siempre obtiene de su pareja lo que quiere.</v>
      </c>
      <c r="G35" s="170" t="str">
        <f ca="1">CONCATENATE("En el número energético, ",IF(C1=4,D1,D2)," es cretaivo, positivo y estimula. ",IF(C1=7,D1,D2)," es quien aporta la elegancia y la energía de prosperidad.")</f>
        <v>En el número energético, su pareja es cretaivo, positivo y estimula. su pareja es quien aporta la elegancia y la energía de prosperidad.</v>
      </c>
      <c r="H35" s="178" t="s">
        <v>53</v>
      </c>
      <c r="I35" s="170" t="s">
        <v>36</v>
      </c>
      <c r="J35" s="170"/>
    </row>
    <row r="36" spans="4:10" ht="65.099999999999994" customHeight="1">
      <c r="D36" s="167">
        <v>48</v>
      </c>
      <c r="E36" s="170" t="str">
        <f>CONCATENATE("En personalidad ambos pueden llevar una buena relación si ",IF(A1=4,D1,D2)," es respetuoso de la libertad y el espacio de ",IF(A1=8,D1,D2),".")</f>
        <v>En personalidad ambos pueden llevar una buena relación si su pareja es respetuoso de la libertad y el espacio de su pareja.</v>
      </c>
      <c r="F36" s="170" t="str">
        <f ca="1">CONCATENATE("En carácter, ",IF(B1=4,D1,D2)," puede ser destructivo para ",IF(B1=8,D1,D2)," cuando se presentan situaciones difíciles; ",IF(B1=4,D1,D2)," aporta alegría y creatividad, mientras que ",IF(B1=8,D1,D2)," contribuye con la tenacidad y la perseverancia.")</f>
        <v>En carácter, su pareja puede ser destructivo para su pareja cuando se presentan situaciones difíciles; su pareja aporta alegría y creatividad, mientras que su pareja contribuye con la tenacidad y la perseverancia.</v>
      </c>
      <c r="G36" s="170" t="str">
        <f ca="1">CONCATENATE("En el número energético, ",IF(C1=4,D1,D2)," provee la energía creativa, mientras que ",IF(C1=8,D1,D2)," tiene el desarrollo profesional y la energía para obtener oportunidades.")</f>
        <v>En el número energético, su pareja provee la energía creativa, mientras que su pareja tiene el desarrollo profesional y la energía para obtener oportunidades.</v>
      </c>
      <c r="H36" s="178" t="s">
        <v>52</v>
      </c>
      <c r="I36" s="170" t="s">
        <v>34</v>
      </c>
      <c r="J36" s="170"/>
    </row>
    <row r="37" spans="4:10" ht="65.099999999999994" customHeight="1">
      <c r="D37" s="167">
        <v>49</v>
      </c>
      <c r="E37" s="170" t="s">
        <v>10</v>
      </c>
      <c r="F37" s="170" t="str">
        <f ca="1">CONCATENATE("En el número de carácter, ",IF(B1=4,D1,D2)," pone la simpatía y ",IF(B1=9,D1,D2)," aporta la alegría. Forman un equipo que se estimulan y promueven mutuamente")</f>
        <v>En el número de carácter, su pareja pone la simpatía y su pareja aporta la alegría. Forman un equipo que se estimulan y promueven mutuamente</v>
      </c>
      <c r="G37" s="170" t="str">
        <f ca="1">CONCATENATE("En el número energético ",IF(C1=4,D1,D2)," impulsa a ",IF(C1=9,D1,D2),", quien puede llegar a ser explosivo, mientras que ",IF(C1=4,D1,D2)," puede manifestarse muy energético.")</f>
        <v>En el número energético su pareja impulsa a su pareja, quien puede llegar a ser explosivo, mientras que su pareja puede manifestarse muy energético.</v>
      </c>
      <c r="H37" s="178" t="s">
        <v>54</v>
      </c>
      <c r="I37" s="170" t="s">
        <v>35</v>
      </c>
      <c r="J37" s="170"/>
    </row>
    <row r="38" spans="4:10" ht="65.099999999999994" customHeight="1">
      <c r="D38" s="167">
        <v>55</v>
      </c>
      <c r="E38" s="170" t="s">
        <v>261</v>
      </c>
      <c r="F38" s="170" t="s">
        <v>262</v>
      </c>
      <c r="G38" s="170" t="s">
        <v>263</v>
      </c>
      <c r="H38" s="178" t="s">
        <v>47</v>
      </c>
      <c r="I38" s="170" t="s">
        <v>40</v>
      </c>
      <c r="J38" s="170"/>
    </row>
    <row r="39" spans="4:10" ht="65.099999999999994" customHeight="1">
      <c r="D39" s="167">
        <v>56</v>
      </c>
      <c r="E39" s="170" t="str">
        <f>CONCATENATE("En personalidad ",IF(A1=5,D1,D2)," aporta el brillo social, la alegría y la sociabilidad. En cambio, ",IF(A1=6,D1,D2)," contribuye con la seguridad y la seriedad, así como con el pensamiento analítico.")</f>
        <v>En personalidad su pareja aporta el brillo social, la alegría y la sociabilidad. En cambio, su pareja contribuye con la seguridad y la seriedad, así como con el pensamiento analítico.</v>
      </c>
      <c r="F39" s="170" t="str">
        <f ca="1">CONCATENATE("En carácter, ",IF(B1=5,D1,D2)," es estable y alegre, ",IF(B1=6,D1,D2)," es el líder natural. Ambos comparten el amor por la vida hogareña y la estabilidad financiera.")</f>
        <v>En carácter, su pareja es estable y alegre, su pareja es el líder natural. Ambos comparten el amor por la vida hogareña y la estabilidad financiera.</v>
      </c>
      <c r="G39" s="170" t="s">
        <v>264</v>
      </c>
      <c r="H39" s="178" t="s">
        <v>49</v>
      </c>
      <c r="I39" s="170" t="s">
        <v>41</v>
      </c>
      <c r="J39" s="170"/>
    </row>
    <row r="40" spans="4:10" ht="65.099999999999994" customHeight="1">
      <c r="D40" s="167">
        <v>57</v>
      </c>
      <c r="E40" s="170" t="str">
        <f>CONCATENATE("En personalidad representan una relación armoniosa, en la que ",IF(A1=5,D1,D2)," disfruta de la calidez de ",IF(A1=7,D1,D2)," mientras que ",IF(A1=7,D1,D2)," se apoya en la estabilidad de ",IF(A1=5,D1,D2),".")</f>
        <v>En personalidad representan una relación armoniosa, en la que su pareja disfruta de la calidez de su pareja mientras que su pareja se apoya en la estabilidad de su pareja.</v>
      </c>
      <c r="F40" s="170" t="s">
        <v>21</v>
      </c>
      <c r="G40" s="170" t="str">
        <f ca="1">CONCATENATE("El número energético, ",IF(C1=5,D1,D2)," provee de la fuerza y de la energía para realizar cualquier proyecto, mientras que ",IF(C1=7,D1,D2)," aporta las relaciones públicas y los contactos sociales para realizarlo.")</f>
        <v>El número energético, usted provee de la fuerza y de la energía para realizar cualquier proyecto, mientras que su pareja aporta las relaciones públicas y los contactos sociales para realizarlo.</v>
      </c>
      <c r="H40" s="178" t="s">
        <v>49</v>
      </c>
      <c r="I40" s="170" t="s">
        <v>41</v>
      </c>
      <c r="J40" s="170"/>
    </row>
    <row r="41" spans="4:10" ht="65.099999999999994" customHeight="1">
      <c r="D41" s="167">
        <v>58</v>
      </c>
      <c r="E41" s="170" t="str">
        <f>CONCATENATE("En personalidad los dos representan el poder y la fuerza, ",IF(A1=8,D1,D2)," es más prudente y silencioso que ",IF(A1=5,D1,D2),". Comparten ideales y el éxito.")</f>
        <v>En personalidad los dos representan el poder y la fuerza, su pareja es más prudente y silencioso que su pareja. Comparten ideales y el éxito.</v>
      </c>
      <c r="F41" s="170" t="s">
        <v>22</v>
      </c>
      <c r="G41" s="170" t="s">
        <v>23</v>
      </c>
      <c r="H41" s="178" t="s">
        <v>47</v>
      </c>
      <c r="I41" s="170" t="s">
        <v>40</v>
      </c>
      <c r="J41" s="170"/>
    </row>
    <row r="42" spans="4:10" ht="65.099999999999994" customHeight="1">
      <c r="D42" s="167">
        <v>59</v>
      </c>
      <c r="E42" s="170" t="s">
        <v>24</v>
      </c>
      <c r="F42" s="170" t="str">
        <f ca="1">CONCATENATE("En carácter ambos representan un ciclo muy creativo, ",IF(B1=5,D1,D2)," aporta estabilidad y ",IF(B1=9,D1,D2)," alegría y la felicidad.")</f>
        <v>En carácter ambos representan un ciclo muy creativo, su pareja aporta estabilidad y su pareja alegría y la felicidad.</v>
      </c>
      <c r="G42" s="170" t="str">
        <f ca="1">CONCATENATE("En el número energético la tenacidad y el perfeccionismo de ",IF(C1=5,D1,D2),", atrae, junto con la alegría y la sociabilidad de ",IF(C1=9,D1,D2)," grandes proyectos y su realización.")</f>
        <v>En el número energético la tenacidad y el perfeccionismo de usted, atrae, junto con la alegría y la sociabilidad de su pareja grandes proyectos y su realización.</v>
      </c>
      <c r="H42" s="178" t="s">
        <v>50</v>
      </c>
      <c r="I42" s="170" t="s">
        <v>38</v>
      </c>
      <c r="J42" s="170"/>
    </row>
    <row r="43" spans="4:10" ht="65.099999999999994" customHeight="1">
      <c r="D43" s="167">
        <v>66</v>
      </c>
      <c r="E43" s="170" t="s">
        <v>25</v>
      </c>
      <c r="F43" s="170" t="s">
        <v>26</v>
      </c>
      <c r="G43" s="170" t="s">
        <v>27</v>
      </c>
      <c r="H43" s="178" t="s">
        <v>55</v>
      </c>
      <c r="I43" s="170" t="s">
        <v>42</v>
      </c>
      <c r="J43" s="170"/>
    </row>
    <row r="44" spans="4:10" ht="65.099999999999994" customHeight="1">
      <c r="D44" s="167">
        <v>67</v>
      </c>
      <c r="E44" s="170" t="s">
        <v>172</v>
      </c>
      <c r="F44" s="170" t="str">
        <f ca="1">CONCATENATE("En carácter ",IF(B1=6,D1,D2)," provee de alegría y entusiasmo la relación, mientras que ",IF(B1=7,D1,D2),", la sabiduría, sensatez y la responsabilidad.")</f>
        <v>En carácter su pareja provee de alegría y entusiasmo la relación, mientras que su pareja, la sabiduría, sensatez y la responsabilidad.</v>
      </c>
      <c r="G44" s="170" t="str">
        <f ca="1">CONCATENATE("En el número energético, ",IF(C1=6,D1,D2)," aporta la habilidad de planear y estructurar a futuro, mientras que ",IF(C1=7,D1,D2)," la elegancia y la sutileza para lograrlo.")</f>
        <v>En el número energético, su pareja aporta la habilidad de planear y estructurar a futuro, mientras que su pareja la elegancia y la sutileza para lograrlo.</v>
      </c>
      <c r="H44" s="178" t="s">
        <v>55</v>
      </c>
      <c r="I44" s="170" t="s">
        <v>42</v>
      </c>
      <c r="J44" s="170"/>
    </row>
    <row r="45" spans="4:10" ht="65.099999999999994" customHeight="1">
      <c r="D45" s="167">
        <v>68</v>
      </c>
      <c r="E45" s="170" t="s">
        <v>173</v>
      </c>
      <c r="F45" s="170" t="s">
        <v>174</v>
      </c>
      <c r="G45" s="170" t="s">
        <v>175</v>
      </c>
      <c r="H45" s="178" t="s">
        <v>56</v>
      </c>
      <c r="I45" s="170" t="s">
        <v>41</v>
      </c>
      <c r="J45" s="170"/>
    </row>
    <row r="46" spans="4:10" ht="65.099999999999994" customHeight="1">
      <c r="D46" s="167">
        <v>69</v>
      </c>
      <c r="E46" s="170" t="str">
        <f>CONCATENATE("En personalidad ambos son personalidades orgullosas; ",IF(A1=6,D1,D2)," admirará de ",IF(A1=9,D1,D2)," su alegría y deseos de socializar, aunque habrá momentos en no pueda seguirle el ritmo, ",IF(A1=9,D1,D2)," valorará la imagen de seriedad y respeto de ",IF(A1=6,D1,D2),".")</f>
        <v>En personalidad ambos son personalidades orgullosas; su pareja admirará de su pareja su alegría y deseos de socializar, aunque habrá momentos en no pueda seguirle el ritmo, su pareja valorará la imagen de seriedad y respeto de su pareja.</v>
      </c>
      <c r="F46" s="170" t="str">
        <f ca="1">CONCATENATE("En carácter, ",IF(B1=9,D1,D2)," puede resultar dominante, hiriente y destructivo para ",IF(B1=6,D1,D2),". Debe cuidarse mucho la relación a través de negociar y dialogar sobre el deseo de ambas partes.")</f>
        <v>En carácter, su pareja puede resultar dominante, hiriente y destructivo para su pareja. Debe cuidarse mucho la relación a través de negociar y dialogar sobre el deseo de ambas partes.</v>
      </c>
      <c r="G46" s="170" t="str">
        <f ca="1">CONCATENATE("En el número energético pueden tener el problema de que la banalidad de ",IF(C1=9,D1,D2)," desespere y desestabilice a ",IF(C1=6,D1,D2),", mientras que ",IF(C1=9,D1,D2)," puede perder el deseo y la pasión por la inexpresividad de ",IF(C1=6,D1,D2),".")</f>
        <v>En el número energético pueden tener el problema de que la banalidad de su pareja desespere y desestabilice a su pareja, mientras que su pareja puede perder el deseo y la pasión por la inexpresividad de su pareja.</v>
      </c>
      <c r="H46" s="178" t="s">
        <v>57</v>
      </c>
      <c r="I46" s="170" t="s">
        <v>39</v>
      </c>
      <c r="J46" s="170"/>
    </row>
    <row r="47" spans="4:10" ht="65.099999999999994" customHeight="1">
      <c r="D47" s="167">
        <v>77</v>
      </c>
      <c r="E47" s="170" t="s">
        <v>309</v>
      </c>
      <c r="F47" s="170" t="s">
        <v>176</v>
      </c>
      <c r="G47" s="170" t="s">
        <v>177</v>
      </c>
      <c r="H47" s="178" t="s">
        <v>55</v>
      </c>
      <c r="I47" s="170" t="s">
        <v>42</v>
      </c>
      <c r="J47" s="170"/>
    </row>
    <row r="48" spans="4:10" ht="65.099999999999994" customHeight="1">
      <c r="D48" s="167">
        <v>78</v>
      </c>
      <c r="E48" s="170" t="s">
        <v>178</v>
      </c>
      <c r="F48" s="170" t="str">
        <f ca="1">CONCATENATE("En carácter se motivan y apoyan mutuamente, ",IF(B1=8,D1,D2)," aporta la fortaleza y ",IF(B1=7,D1,D2)," la elegancia.")</f>
        <v>En carácter se motivan y apoyan mutuamente, su pareja aporta la fortaleza y su pareja la elegancia.</v>
      </c>
      <c r="G48" s="170" t="s">
        <v>179</v>
      </c>
      <c r="H48" s="178" t="s">
        <v>56</v>
      </c>
      <c r="I48" s="170" t="s">
        <v>41</v>
      </c>
      <c r="J48" s="170"/>
    </row>
    <row r="49" spans="3:10" ht="65.099999999999994" customHeight="1">
      <c r="D49" s="167">
        <v>79</v>
      </c>
      <c r="E49" s="170" t="str">
        <f>CONCATENATE("En personalidad, ",IF(A1=7,D1,D2)," es suave y elegante, mientras que ",IF(A1=9,D1,D2)," es brillante y sociable; si evitan opacarese uno al otro pueden ser una buena combinación.")</f>
        <v>En personalidad, su pareja es suave y elegante, mientras que su pareja es brillante y sociable; si evitan opacarese uno al otro pueden ser una buena combinación.</v>
      </c>
      <c r="F49" s="170" t="str">
        <f ca="1">CONCATENATE("En carácter, ",IF(B1=9,D1,D2)," puede dominar y lastimar a ",IF(B1=7,D1,D2)," con su punto de vista superficial de la vida pues ",IF(B1=7,D1,D2)," es más sentimental, espiritual y profundo.")</f>
        <v>En carácter, su pareja puede dominar y lastimar a su pareja con su punto de vista superficial de la vida pues su pareja es más sentimental, espiritual y profundo.</v>
      </c>
      <c r="G49" s="170" t="str">
        <f ca="1">CONCATENATE("En el número energético, forman un buen equipo, en el que ",IF(C1=9,D1,D2)," crea y hace publicidad, mientras que ",IF(C1=7,D1,D2)," realiza, estimula y logra.")</f>
        <v>En el número energético, forman un buen equipo, en el que su pareja crea y hace publicidad, mientras que su pareja realiza, estimula y logra.</v>
      </c>
      <c r="H49" s="178" t="s">
        <v>57</v>
      </c>
      <c r="I49" s="170" t="s">
        <v>39</v>
      </c>
      <c r="J49" s="170"/>
    </row>
    <row r="50" spans="3:10" ht="65.099999999999994" customHeight="1">
      <c r="D50" s="167">
        <v>88</v>
      </c>
      <c r="E50" s="170" t="s">
        <v>298</v>
      </c>
      <c r="F50" s="170" t="s">
        <v>299</v>
      </c>
      <c r="G50" s="170" t="s">
        <v>300</v>
      </c>
      <c r="H50" s="178" t="s">
        <v>47</v>
      </c>
      <c r="I50" s="170" t="s">
        <v>38</v>
      </c>
      <c r="J50" s="170"/>
    </row>
    <row r="51" spans="3:10" ht="65.099999999999994" customHeight="1">
      <c r="D51" s="167">
        <v>89</v>
      </c>
      <c r="E51" s="170" t="str">
        <f>CONCATENATE("En personalidad son una combinación alegre y sólida, ",IF(A1=9,D1,D2)," aporta la alegría, mientras que la solidez proviene de ",IF(A1=8,D1,D2),".")</f>
        <v>En personalidad son una combinación alegre y sólida, su pareja aporta la alegría, mientras que la solidez proviene de su pareja.</v>
      </c>
      <c r="F51" s="170" t="s">
        <v>301</v>
      </c>
      <c r="G51" s="170" t="str">
        <f ca="1">CONCATENATE("En el número energético son capaces de obtener todo lo que quieran y se propongan, ",IF(C1=9,D1,D2)," crea y ",IF(C1=8,D1,D2)," realiza. Éxito seguro.")</f>
        <v>En el número energético son capaces de obtener todo lo que quieran y se propongan, su pareja crea y su pareja realiza. Éxito seguro.</v>
      </c>
      <c r="H51" s="178" t="s">
        <v>50</v>
      </c>
      <c r="I51" s="170" t="s">
        <v>38</v>
      </c>
      <c r="J51" s="170"/>
    </row>
    <row r="52" spans="3:10" ht="65.099999999999994" customHeight="1">
      <c r="D52" s="167">
        <v>99</v>
      </c>
      <c r="E52" s="170" t="s">
        <v>302</v>
      </c>
      <c r="F52" s="170" t="s">
        <v>303</v>
      </c>
      <c r="G52" s="170" t="s">
        <v>304</v>
      </c>
      <c r="H52" s="178" t="s">
        <v>58</v>
      </c>
      <c r="I52" s="170" t="s">
        <v>37</v>
      </c>
      <c r="J52" s="170"/>
    </row>
    <row r="54" spans="3:10" ht="76.5">
      <c r="C54" s="178">
        <v>1</v>
      </c>
      <c r="D54" s="178" t="s">
        <v>60</v>
      </c>
      <c r="E54" s="170" t="s">
        <v>69</v>
      </c>
    </row>
    <row r="55" spans="3:10" ht="114.75">
      <c r="C55" s="178">
        <v>2</v>
      </c>
      <c r="D55" s="178" t="s">
        <v>61</v>
      </c>
      <c r="E55" s="170" t="s">
        <v>70</v>
      </c>
    </row>
    <row r="56" spans="3:10" ht="51">
      <c r="C56" s="178">
        <v>3</v>
      </c>
      <c r="D56" s="178" t="s">
        <v>62</v>
      </c>
      <c r="E56" s="170" t="s">
        <v>71</v>
      </c>
    </row>
    <row r="57" spans="3:10" ht="63.75">
      <c r="C57" s="178">
        <v>4</v>
      </c>
      <c r="D57" s="178" t="s">
        <v>63</v>
      </c>
      <c r="E57" s="170" t="s">
        <v>275</v>
      </c>
    </row>
    <row r="58" spans="3:10">
      <c r="C58" s="178">
        <v>5</v>
      </c>
      <c r="D58" s="178" t="s">
        <v>64</v>
      </c>
      <c r="E58" s="170" t="s">
        <v>207</v>
      </c>
    </row>
    <row r="59" spans="3:10" ht="51">
      <c r="C59" s="178">
        <v>6</v>
      </c>
      <c r="D59" s="178" t="s">
        <v>65</v>
      </c>
      <c r="E59" s="170" t="s">
        <v>203</v>
      </c>
    </row>
    <row r="60" spans="3:10" ht="51">
      <c r="C60" s="178">
        <v>7</v>
      </c>
      <c r="D60" s="178" t="s">
        <v>66</v>
      </c>
      <c r="E60" s="170" t="s">
        <v>206</v>
      </c>
    </row>
    <row r="61" spans="3:10" ht="38.25">
      <c r="C61" s="178">
        <v>8</v>
      </c>
      <c r="D61" s="178" t="s">
        <v>67</v>
      </c>
      <c r="E61" s="170" t="s">
        <v>204</v>
      </c>
    </row>
    <row r="62" spans="3:10" ht="51">
      <c r="C62" s="178">
        <v>9</v>
      </c>
      <c r="D62" s="178" t="s">
        <v>68</v>
      </c>
      <c r="E62" s="170" t="s">
        <v>205</v>
      </c>
    </row>
  </sheetData>
  <phoneticPr fontId="11" type="noConversion"/>
  <conditionalFormatting sqref="I1:J1 G1">
    <cfRule type="expression" dxfId="11" priority="1" stopIfTrue="1">
      <formula>IF($C$1&gt;$C$2,TRUE,FALSE)</formula>
    </cfRule>
    <cfRule type="expression" dxfId="10" priority="2" stopIfTrue="1">
      <formula>IF($C$1&lt;=$C$2,TRUE,FALSE)</formula>
    </cfRule>
  </conditionalFormatting>
  <conditionalFormatting sqref="I2:J2 G2">
    <cfRule type="expression" dxfId="9" priority="3" stopIfTrue="1">
      <formula>IF($C$1&gt;$C$2,TRUE,FALSE)</formula>
    </cfRule>
    <cfRule type="expression" dxfId="8" priority="4" stopIfTrue="1">
      <formula>IF($C$1&lt;=$C$2,TRUE,FALSE)</formula>
    </cfRule>
  </conditionalFormatting>
  <conditionalFormatting sqref="E1">
    <cfRule type="expression" dxfId="7" priority="5" stopIfTrue="1">
      <formula>IF($A$1&gt;$A$2,TRUE,FALSE)</formula>
    </cfRule>
    <cfRule type="expression" dxfId="6" priority="6" stopIfTrue="1">
      <formula>IF($A$1&lt;=$A$2,TRUE,FALSE)</formula>
    </cfRule>
  </conditionalFormatting>
  <conditionalFormatting sqref="E2">
    <cfRule type="expression" dxfId="5" priority="7" stopIfTrue="1">
      <formula>IF($A$1&gt;$A$2,TRUE,FALSE)</formula>
    </cfRule>
    <cfRule type="expression" dxfId="4" priority="8" stopIfTrue="1">
      <formula>IF($A$1&lt;=$A$2,TRUE,FALSE)</formula>
    </cfRule>
  </conditionalFormatting>
  <conditionalFormatting sqref="F1">
    <cfRule type="expression" dxfId="3" priority="9" stopIfTrue="1">
      <formula>IF($B$1&gt;$B$2,TRUE,FALSE)</formula>
    </cfRule>
    <cfRule type="expression" dxfId="2" priority="10" stopIfTrue="1">
      <formula>IF($B$1&lt;=$B$2,TRUE,FALSE)</formula>
    </cfRule>
  </conditionalFormatting>
  <conditionalFormatting sqref="F2">
    <cfRule type="expression" dxfId="1" priority="11" stopIfTrue="1">
      <formula>IF($B$1&gt;$B$2,TRUE,FALSE)</formula>
    </cfRule>
    <cfRule type="expression" dxfId="0" priority="12" stopIfTrue="1">
      <formula>IF($B$1&lt;=$B$2,TRUE,FALSE)</formula>
    </cfRule>
  </conditionalFormatting>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
  <sheetViews>
    <sheetView topLeftCell="W1" workbookViewId="0">
      <selection sqref="A1:F1"/>
    </sheetView>
  </sheetViews>
  <sheetFormatPr baseColWidth="10" defaultRowHeight="12.75"/>
  <sheetData>
    <row r="1" spans="1:54" s="36" customFormat="1" ht="13.5" thickBot="1">
      <c r="A1" s="452" t="s">
        <v>171</v>
      </c>
      <c r="B1" s="453"/>
      <c r="C1" s="453"/>
      <c r="D1" s="453"/>
      <c r="E1" s="453"/>
      <c r="F1" s="454"/>
      <c r="G1" s="452" t="s">
        <v>116</v>
      </c>
      <c r="H1" s="453"/>
      <c r="I1" s="453"/>
      <c r="J1" s="453"/>
      <c r="K1" s="453"/>
      <c r="L1" s="454"/>
      <c r="M1" s="452" t="s">
        <v>117</v>
      </c>
      <c r="N1" s="453"/>
      <c r="O1" s="453"/>
      <c r="P1" s="453"/>
      <c r="Q1" s="453"/>
      <c r="R1" s="454"/>
      <c r="S1" s="452" t="s">
        <v>118</v>
      </c>
      <c r="T1" s="453"/>
      <c r="U1" s="453"/>
      <c r="V1" s="453"/>
      <c r="W1" s="453"/>
      <c r="X1" s="454"/>
      <c r="Y1" s="452" t="s">
        <v>119</v>
      </c>
      <c r="Z1" s="453"/>
      <c r="AA1" s="453"/>
      <c r="AB1" s="453"/>
      <c r="AC1" s="453"/>
      <c r="AD1" s="454"/>
      <c r="AE1" s="452" t="s">
        <v>120</v>
      </c>
      <c r="AF1" s="453"/>
      <c r="AG1" s="453"/>
      <c r="AH1" s="453"/>
      <c r="AI1" s="453"/>
      <c r="AJ1" s="454"/>
      <c r="AK1" s="452" t="s">
        <v>121</v>
      </c>
      <c r="AL1" s="453"/>
      <c r="AM1" s="453"/>
      <c r="AN1" s="453"/>
      <c r="AO1" s="453"/>
      <c r="AP1" s="454"/>
      <c r="AQ1" s="452" t="s">
        <v>122</v>
      </c>
      <c r="AR1" s="453"/>
      <c r="AS1" s="453"/>
      <c r="AT1" s="453"/>
      <c r="AU1" s="453"/>
      <c r="AV1" s="454"/>
      <c r="AW1" s="452" t="s">
        <v>123</v>
      </c>
      <c r="AX1" s="453"/>
      <c r="AY1" s="453"/>
      <c r="AZ1" s="453"/>
      <c r="BA1" s="453"/>
      <c r="BB1" s="454"/>
    </row>
    <row r="2" spans="1:54" s="34" customFormat="1" ht="50.1" customHeight="1">
      <c r="A2" s="259" t="s">
        <v>28</v>
      </c>
      <c r="B2" s="260"/>
      <c r="C2" s="260"/>
      <c r="D2" s="260"/>
      <c r="E2" s="260"/>
      <c r="F2" s="261"/>
      <c r="G2" s="259" t="s">
        <v>124</v>
      </c>
      <c r="H2" s="260"/>
      <c r="I2" s="260"/>
      <c r="J2" s="260"/>
      <c r="K2" s="260"/>
      <c r="L2" s="261"/>
      <c r="M2" s="259" t="s">
        <v>125</v>
      </c>
      <c r="N2" s="260"/>
      <c r="O2" s="260"/>
      <c r="P2" s="260"/>
      <c r="Q2" s="260"/>
      <c r="R2" s="261"/>
      <c r="S2" s="259" t="s">
        <v>223</v>
      </c>
      <c r="T2" s="260"/>
      <c r="U2" s="260"/>
      <c r="V2" s="260"/>
      <c r="W2" s="260"/>
      <c r="X2" s="261"/>
      <c r="Y2" s="259" t="s">
        <v>273</v>
      </c>
      <c r="Z2" s="260"/>
      <c r="AA2" s="260"/>
      <c r="AB2" s="260"/>
      <c r="AC2" s="260"/>
      <c r="AD2" s="261"/>
      <c r="AE2" s="259" t="s">
        <v>89</v>
      </c>
      <c r="AF2" s="260"/>
      <c r="AG2" s="260"/>
      <c r="AH2" s="260"/>
      <c r="AI2" s="260"/>
      <c r="AJ2" s="261"/>
      <c r="AK2" s="259" t="s">
        <v>234</v>
      </c>
      <c r="AL2" s="260"/>
      <c r="AM2" s="260"/>
      <c r="AN2" s="260"/>
      <c r="AO2" s="260"/>
      <c r="AP2" s="261"/>
      <c r="AQ2" s="259" t="s">
        <v>7</v>
      </c>
      <c r="AR2" s="260"/>
      <c r="AS2" s="260"/>
      <c r="AT2" s="260"/>
      <c r="AU2" s="260"/>
      <c r="AV2" s="261"/>
      <c r="AW2" s="259" t="s">
        <v>8</v>
      </c>
      <c r="AX2" s="260"/>
      <c r="AY2" s="260"/>
      <c r="AZ2" s="260"/>
      <c r="BA2" s="260"/>
      <c r="BB2" s="261"/>
    </row>
    <row r="3" spans="1:54" s="34" customFormat="1" ht="50.1" customHeight="1">
      <c r="A3" s="262"/>
      <c r="B3" s="263"/>
      <c r="C3" s="263"/>
      <c r="D3" s="263"/>
      <c r="E3" s="263"/>
      <c r="F3" s="264"/>
      <c r="G3" s="262"/>
      <c r="H3" s="263"/>
      <c r="I3" s="263"/>
      <c r="J3" s="263"/>
      <c r="K3" s="263"/>
      <c r="L3" s="264"/>
      <c r="M3" s="262"/>
      <c r="N3" s="263"/>
      <c r="O3" s="263"/>
      <c r="P3" s="263"/>
      <c r="Q3" s="263"/>
      <c r="R3" s="264"/>
      <c r="S3" s="262"/>
      <c r="T3" s="263"/>
      <c r="U3" s="263"/>
      <c r="V3" s="263"/>
      <c r="W3" s="263"/>
      <c r="X3" s="264"/>
      <c r="Y3" s="262"/>
      <c r="Z3" s="263"/>
      <c r="AA3" s="263"/>
      <c r="AB3" s="263"/>
      <c r="AC3" s="263"/>
      <c r="AD3" s="264"/>
      <c r="AE3" s="262"/>
      <c r="AF3" s="263"/>
      <c r="AG3" s="263"/>
      <c r="AH3" s="263"/>
      <c r="AI3" s="263"/>
      <c r="AJ3" s="264"/>
      <c r="AK3" s="262"/>
      <c r="AL3" s="263"/>
      <c r="AM3" s="263"/>
      <c r="AN3" s="263"/>
      <c r="AO3" s="263"/>
      <c r="AP3" s="264"/>
      <c r="AQ3" s="262"/>
      <c r="AR3" s="263"/>
      <c r="AS3" s="263"/>
      <c r="AT3" s="263"/>
      <c r="AU3" s="263"/>
      <c r="AV3" s="264"/>
      <c r="AW3" s="262"/>
      <c r="AX3" s="263"/>
      <c r="AY3" s="263"/>
      <c r="AZ3" s="263"/>
      <c r="BA3" s="263"/>
      <c r="BB3" s="264"/>
    </row>
    <row r="4" spans="1:54" s="34" customFormat="1" ht="50.1" customHeight="1">
      <c r="A4" s="262"/>
      <c r="B4" s="263"/>
      <c r="C4" s="263"/>
      <c r="D4" s="263"/>
      <c r="E4" s="263"/>
      <c r="F4" s="264"/>
      <c r="G4" s="262"/>
      <c r="H4" s="263"/>
      <c r="I4" s="263"/>
      <c r="J4" s="263"/>
      <c r="K4" s="263"/>
      <c r="L4" s="264"/>
      <c r="M4" s="262"/>
      <c r="N4" s="263"/>
      <c r="O4" s="263"/>
      <c r="P4" s="263"/>
      <c r="Q4" s="263"/>
      <c r="R4" s="264"/>
      <c r="S4" s="262"/>
      <c r="T4" s="263"/>
      <c r="U4" s="263"/>
      <c r="V4" s="263"/>
      <c r="W4" s="263"/>
      <c r="X4" s="264"/>
      <c r="Y4" s="262"/>
      <c r="Z4" s="263"/>
      <c r="AA4" s="263"/>
      <c r="AB4" s="263"/>
      <c r="AC4" s="263"/>
      <c r="AD4" s="264"/>
      <c r="AE4" s="262"/>
      <c r="AF4" s="263"/>
      <c r="AG4" s="263"/>
      <c r="AH4" s="263"/>
      <c r="AI4" s="263"/>
      <c r="AJ4" s="264"/>
      <c r="AK4" s="262"/>
      <c r="AL4" s="263"/>
      <c r="AM4" s="263"/>
      <c r="AN4" s="263"/>
      <c r="AO4" s="263"/>
      <c r="AP4" s="264"/>
      <c r="AQ4" s="262"/>
      <c r="AR4" s="263"/>
      <c r="AS4" s="263"/>
      <c r="AT4" s="263"/>
      <c r="AU4" s="263"/>
      <c r="AV4" s="264"/>
      <c r="AW4" s="262"/>
      <c r="AX4" s="263"/>
      <c r="AY4" s="263"/>
      <c r="AZ4" s="263"/>
      <c r="BA4" s="263"/>
      <c r="BB4" s="264"/>
    </row>
    <row r="5" spans="1:54" s="34" customFormat="1" ht="50.1" customHeight="1">
      <c r="A5" s="262"/>
      <c r="B5" s="263"/>
      <c r="C5" s="263"/>
      <c r="D5" s="263"/>
      <c r="E5" s="263"/>
      <c r="F5" s="264"/>
      <c r="G5" s="262"/>
      <c r="H5" s="263"/>
      <c r="I5" s="263"/>
      <c r="J5" s="263"/>
      <c r="K5" s="263"/>
      <c r="L5" s="264"/>
      <c r="M5" s="262"/>
      <c r="N5" s="263"/>
      <c r="O5" s="263"/>
      <c r="P5" s="263"/>
      <c r="Q5" s="263"/>
      <c r="R5" s="264"/>
      <c r="S5" s="262"/>
      <c r="T5" s="263"/>
      <c r="U5" s="263"/>
      <c r="V5" s="263"/>
      <c r="W5" s="263"/>
      <c r="X5" s="264"/>
      <c r="Y5" s="262"/>
      <c r="Z5" s="263"/>
      <c r="AA5" s="263"/>
      <c r="AB5" s="263"/>
      <c r="AC5" s="263"/>
      <c r="AD5" s="264"/>
      <c r="AE5" s="262"/>
      <c r="AF5" s="263"/>
      <c r="AG5" s="263"/>
      <c r="AH5" s="263"/>
      <c r="AI5" s="263"/>
      <c r="AJ5" s="264"/>
      <c r="AK5" s="262"/>
      <c r="AL5" s="263"/>
      <c r="AM5" s="263"/>
      <c r="AN5" s="263"/>
      <c r="AO5" s="263"/>
      <c r="AP5" s="264"/>
      <c r="AQ5" s="262"/>
      <c r="AR5" s="263"/>
      <c r="AS5" s="263"/>
      <c r="AT5" s="263"/>
      <c r="AU5" s="263"/>
      <c r="AV5" s="264"/>
      <c r="AW5" s="262"/>
      <c r="AX5" s="263"/>
      <c r="AY5" s="263"/>
      <c r="AZ5" s="263"/>
      <c r="BA5" s="263"/>
      <c r="BB5" s="264"/>
    </row>
    <row r="6" spans="1:54" s="34" customFormat="1" ht="48" customHeight="1">
      <c r="A6" s="262" t="s">
        <v>143</v>
      </c>
      <c r="B6" s="263"/>
      <c r="C6" s="263"/>
      <c r="D6" s="263"/>
      <c r="E6" s="263"/>
      <c r="F6" s="264"/>
      <c r="G6" s="262" t="s">
        <v>227</v>
      </c>
      <c r="H6" s="263"/>
      <c r="I6" s="263"/>
      <c r="J6" s="263"/>
      <c r="K6" s="263"/>
      <c r="L6" s="264"/>
      <c r="M6" s="262" t="s">
        <v>228</v>
      </c>
      <c r="N6" s="263"/>
      <c r="O6" s="263"/>
      <c r="P6" s="263"/>
      <c r="Q6" s="263"/>
      <c r="R6" s="264"/>
      <c r="S6" s="262" t="s">
        <v>224</v>
      </c>
      <c r="T6" s="263"/>
      <c r="U6" s="263"/>
      <c r="V6" s="263"/>
      <c r="W6" s="263"/>
      <c r="X6" s="264"/>
      <c r="Y6" s="262" t="s">
        <v>274</v>
      </c>
      <c r="Z6" s="263"/>
      <c r="AA6" s="263"/>
      <c r="AB6" s="263"/>
      <c r="AC6" s="263"/>
      <c r="AD6" s="264"/>
      <c r="AE6" s="262" t="s">
        <v>252</v>
      </c>
      <c r="AF6" s="263"/>
      <c r="AG6" s="263"/>
      <c r="AH6" s="263"/>
      <c r="AI6" s="263"/>
      <c r="AJ6" s="264"/>
      <c r="AK6" s="262" t="s">
        <v>235</v>
      </c>
      <c r="AL6" s="263"/>
      <c r="AM6" s="263"/>
      <c r="AN6" s="263"/>
      <c r="AO6" s="263"/>
      <c r="AP6" s="264"/>
      <c r="AQ6" s="262" t="s">
        <v>320</v>
      </c>
      <c r="AR6" s="263"/>
      <c r="AS6" s="263"/>
      <c r="AT6" s="263"/>
      <c r="AU6" s="263"/>
      <c r="AV6" s="264"/>
      <c r="AW6" s="262" t="s">
        <v>6</v>
      </c>
      <c r="AX6" s="263"/>
      <c r="AY6" s="263"/>
      <c r="AZ6" s="263"/>
      <c r="BA6" s="263"/>
      <c r="BB6" s="264"/>
    </row>
    <row r="7" spans="1:54" s="34" customFormat="1" ht="48" customHeight="1">
      <c r="A7" s="262"/>
      <c r="B7" s="263"/>
      <c r="C7" s="263"/>
      <c r="D7" s="263"/>
      <c r="E7" s="263"/>
      <c r="F7" s="264"/>
      <c r="G7" s="262"/>
      <c r="H7" s="263"/>
      <c r="I7" s="263"/>
      <c r="J7" s="263"/>
      <c r="K7" s="263"/>
      <c r="L7" s="264"/>
      <c r="M7" s="262"/>
      <c r="N7" s="263"/>
      <c r="O7" s="263"/>
      <c r="P7" s="263"/>
      <c r="Q7" s="263"/>
      <c r="R7" s="264"/>
      <c r="S7" s="262"/>
      <c r="T7" s="263"/>
      <c r="U7" s="263"/>
      <c r="V7" s="263"/>
      <c r="W7" s="263"/>
      <c r="X7" s="264"/>
      <c r="Y7" s="262"/>
      <c r="Z7" s="263"/>
      <c r="AA7" s="263"/>
      <c r="AB7" s="263"/>
      <c r="AC7" s="263"/>
      <c r="AD7" s="264"/>
      <c r="AE7" s="262"/>
      <c r="AF7" s="263"/>
      <c r="AG7" s="263"/>
      <c r="AH7" s="263"/>
      <c r="AI7" s="263"/>
      <c r="AJ7" s="264"/>
      <c r="AK7" s="262"/>
      <c r="AL7" s="263"/>
      <c r="AM7" s="263"/>
      <c r="AN7" s="263"/>
      <c r="AO7" s="263"/>
      <c r="AP7" s="264"/>
      <c r="AQ7" s="262"/>
      <c r="AR7" s="263"/>
      <c r="AS7" s="263"/>
      <c r="AT7" s="263"/>
      <c r="AU7" s="263"/>
      <c r="AV7" s="264"/>
      <c r="AW7" s="262"/>
      <c r="AX7" s="263"/>
      <c r="AY7" s="263"/>
      <c r="AZ7" s="263"/>
      <c r="BA7" s="263"/>
      <c r="BB7" s="264"/>
    </row>
    <row r="8" spans="1:54" s="34" customFormat="1" ht="48" customHeight="1">
      <c r="A8" s="262"/>
      <c r="B8" s="263"/>
      <c r="C8" s="263"/>
      <c r="D8" s="263"/>
      <c r="E8" s="263"/>
      <c r="F8" s="264"/>
      <c r="G8" s="262"/>
      <c r="H8" s="263"/>
      <c r="I8" s="263"/>
      <c r="J8" s="263"/>
      <c r="K8" s="263"/>
      <c r="L8" s="264"/>
      <c r="M8" s="262"/>
      <c r="N8" s="263"/>
      <c r="O8" s="263"/>
      <c r="P8" s="263"/>
      <c r="Q8" s="263"/>
      <c r="R8" s="264"/>
      <c r="S8" s="262"/>
      <c r="T8" s="263"/>
      <c r="U8" s="263"/>
      <c r="V8" s="263"/>
      <c r="W8" s="263"/>
      <c r="X8" s="264"/>
      <c r="Y8" s="262"/>
      <c r="Z8" s="263"/>
      <c r="AA8" s="263"/>
      <c r="AB8" s="263"/>
      <c r="AC8" s="263"/>
      <c r="AD8" s="264"/>
      <c r="AE8" s="262"/>
      <c r="AF8" s="263"/>
      <c r="AG8" s="263"/>
      <c r="AH8" s="263"/>
      <c r="AI8" s="263"/>
      <c r="AJ8" s="264"/>
      <c r="AK8" s="262"/>
      <c r="AL8" s="263"/>
      <c r="AM8" s="263"/>
      <c r="AN8" s="263"/>
      <c r="AO8" s="263"/>
      <c r="AP8" s="264"/>
      <c r="AQ8" s="262"/>
      <c r="AR8" s="263"/>
      <c r="AS8" s="263"/>
      <c r="AT8" s="263"/>
      <c r="AU8" s="263"/>
      <c r="AV8" s="264"/>
      <c r="AW8" s="262"/>
      <c r="AX8" s="263"/>
      <c r="AY8" s="263"/>
      <c r="AZ8" s="263"/>
      <c r="BA8" s="263"/>
      <c r="BB8" s="264"/>
    </row>
    <row r="9" spans="1:54" s="34" customFormat="1" ht="48" customHeight="1">
      <c r="A9" s="262"/>
      <c r="B9" s="263"/>
      <c r="C9" s="263"/>
      <c r="D9" s="263"/>
      <c r="E9" s="263"/>
      <c r="F9" s="264"/>
      <c r="G9" s="262"/>
      <c r="H9" s="263"/>
      <c r="I9" s="263"/>
      <c r="J9" s="263"/>
      <c r="K9" s="263"/>
      <c r="L9" s="264"/>
      <c r="M9" s="262"/>
      <c r="N9" s="263"/>
      <c r="O9" s="263"/>
      <c r="P9" s="263"/>
      <c r="Q9" s="263"/>
      <c r="R9" s="264"/>
      <c r="S9" s="262"/>
      <c r="T9" s="263"/>
      <c r="U9" s="263"/>
      <c r="V9" s="263"/>
      <c r="W9" s="263"/>
      <c r="X9" s="264"/>
      <c r="Y9" s="262"/>
      <c r="Z9" s="263"/>
      <c r="AA9" s="263"/>
      <c r="AB9" s="263"/>
      <c r="AC9" s="263"/>
      <c r="AD9" s="264"/>
      <c r="AE9" s="262"/>
      <c r="AF9" s="263"/>
      <c r="AG9" s="263"/>
      <c r="AH9" s="263"/>
      <c r="AI9" s="263"/>
      <c r="AJ9" s="264"/>
      <c r="AK9" s="262"/>
      <c r="AL9" s="263"/>
      <c r="AM9" s="263"/>
      <c r="AN9" s="263"/>
      <c r="AO9" s="263"/>
      <c r="AP9" s="264"/>
      <c r="AQ9" s="262"/>
      <c r="AR9" s="263"/>
      <c r="AS9" s="263"/>
      <c r="AT9" s="263"/>
      <c r="AU9" s="263"/>
      <c r="AV9" s="264"/>
      <c r="AW9" s="262"/>
      <c r="AX9" s="263"/>
      <c r="AY9" s="263"/>
      <c r="AZ9" s="263"/>
      <c r="BA9" s="263"/>
      <c r="BB9" s="264"/>
    </row>
    <row r="10" spans="1:54" s="34" customFormat="1" ht="35.1" customHeight="1">
      <c r="A10" s="262" t="s">
        <v>212</v>
      </c>
      <c r="B10" s="263"/>
      <c r="C10" s="263"/>
      <c r="D10" s="263"/>
      <c r="E10" s="263"/>
      <c r="F10" s="264"/>
      <c r="G10" s="262" t="s">
        <v>321</v>
      </c>
      <c r="H10" s="263"/>
      <c r="I10" s="263"/>
      <c r="J10" s="263"/>
      <c r="K10" s="263"/>
      <c r="L10" s="264"/>
      <c r="M10" s="262" t="s">
        <v>229</v>
      </c>
      <c r="N10" s="263"/>
      <c r="O10" s="263"/>
      <c r="P10" s="263"/>
      <c r="Q10" s="263"/>
      <c r="R10" s="264"/>
      <c r="S10" s="262" t="s">
        <v>229</v>
      </c>
      <c r="T10" s="263"/>
      <c r="U10" s="263"/>
      <c r="V10" s="263"/>
      <c r="W10" s="263"/>
      <c r="X10" s="264"/>
      <c r="Y10" s="262" t="s">
        <v>229</v>
      </c>
      <c r="Z10" s="263"/>
      <c r="AA10" s="263"/>
      <c r="AB10" s="263"/>
      <c r="AC10" s="263"/>
      <c r="AD10" s="264"/>
      <c r="AE10" s="262" t="s">
        <v>229</v>
      </c>
      <c r="AF10" s="263"/>
      <c r="AG10" s="263"/>
      <c r="AH10" s="263"/>
      <c r="AI10" s="263"/>
      <c r="AJ10" s="264"/>
      <c r="AK10" s="262"/>
      <c r="AL10" s="263"/>
      <c r="AM10" s="263"/>
      <c r="AN10" s="263"/>
      <c r="AO10" s="263"/>
      <c r="AP10" s="264"/>
      <c r="AQ10" s="262" t="s">
        <v>229</v>
      </c>
      <c r="AR10" s="263"/>
      <c r="AS10" s="263"/>
      <c r="AT10" s="263"/>
      <c r="AU10" s="263"/>
      <c r="AV10" s="264"/>
      <c r="AW10" s="262" t="s">
        <v>229</v>
      </c>
      <c r="AX10" s="263"/>
      <c r="AY10" s="263"/>
      <c r="AZ10" s="263"/>
      <c r="BA10" s="263"/>
      <c r="BB10" s="264"/>
    </row>
    <row r="11" spans="1:54" s="34" customFormat="1" ht="35.1" customHeight="1">
      <c r="A11" s="262"/>
      <c r="B11" s="263"/>
      <c r="C11" s="263"/>
      <c r="D11" s="263"/>
      <c r="E11" s="263"/>
      <c r="F11" s="264"/>
      <c r="G11" s="262"/>
      <c r="H11" s="263"/>
      <c r="I11" s="263"/>
      <c r="J11" s="263"/>
      <c r="K11" s="263"/>
      <c r="L11" s="264"/>
      <c r="M11" s="262"/>
      <c r="N11" s="263"/>
      <c r="O11" s="263"/>
      <c r="P11" s="263"/>
      <c r="Q11" s="263"/>
      <c r="R11" s="264"/>
      <c r="S11" s="262"/>
      <c r="T11" s="263"/>
      <c r="U11" s="263"/>
      <c r="V11" s="263"/>
      <c r="W11" s="263"/>
      <c r="X11" s="264"/>
      <c r="Y11" s="262"/>
      <c r="Z11" s="263"/>
      <c r="AA11" s="263"/>
      <c r="AB11" s="263"/>
      <c r="AC11" s="263"/>
      <c r="AD11" s="264"/>
      <c r="AE11" s="262"/>
      <c r="AF11" s="263"/>
      <c r="AG11" s="263"/>
      <c r="AH11" s="263"/>
      <c r="AI11" s="263"/>
      <c r="AJ11" s="264"/>
      <c r="AK11" s="262"/>
      <c r="AL11" s="263"/>
      <c r="AM11" s="263"/>
      <c r="AN11" s="263"/>
      <c r="AO11" s="263"/>
      <c r="AP11" s="264"/>
      <c r="AQ11" s="262"/>
      <c r="AR11" s="263"/>
      <c r="AS11" s="263"/>
      <c r="AT11" s="263"/>
      <c r="AU11" s="263"/>
      <c r="AV11" s="264"/>
      <c r="AW11" s="262"/>
      <c r="AX11" s="263"/>
      <c r="AY11" s="263"/>
      <c r="AZ11" s="263"/>
      <c r="BA11" s="263"/>
      <c r="BB11" s="264"/>
    </row>
    <row r="12" spans="1:54" s="34" customFormat="1" ht="35.1" customHeight="1">
      <c r="A12" s="262"/>
      <c r="B12" s="263"/>
      <c r="C12" s="263"/>
      <c r="D12" s="263"/>
      <c r="E12" s="263"/>
      <c r="F12" s="264"/>
      <c r="G12" s="262"/>
      <c r="H12" s="263"/>
      <c r="I12" s="263"/>
      <c r="J12" s="263"/>
      <c r="K12" s="263"/>
      <c r="L12" s="264"/>
      <c r="M12" s="262"/>
      <c r="N12" s="263"/>
      <c r="O12" s="263"/>
      <c r="P12" s="263"/>
      <c r="Q12" s="263"/>
      <c r="R12" s="264"/>
      <c r="S12" s="262"/>
      <c r="T12" s="263"/>
      <c r="U12" s="263"/>
      <c r="V12" s="263"/>
      <c r="W12" s="263"/>
      <c r="X12" s="264"/>
      <c r="Y12" s="262"/>
      <c r="Z12" s="263"/>
      <c r="AA12" s="263"/>
      <c r="AB12" s="263"/>
      <c r="AC12" s="263"/>
      <c r="AD12" s="264"/>
      <c r="AE12" s="262"/>
      <c r="AF12" s="263"/>
      <c r="AG12" s="263"/>
      <c r="AH12" s="263"/>
      <c r="AI12" s="263"/>
      <c r="AJ12" s="264"/>
      <c r="AK12" s="262"/>
      <c r="AL12" s="263"/>
      <c r="AM12" s="263"/>
      <c r="AN12" s="263"/>
      <c r="AO12" s="263"/>
      <c r="AP12" s="264"/>
      <c r="AQ12" s="262"/>
      <c r="AR12" s="263"/>
      <c r="AS12" s="263"/>
      <c r="AT12" s="263"/>
      <c r="AU12" s="263"/>
      <c r="AV12" s="264"/>
      <c r="AW12" s="262"/>
      <c r="AX12" s="263"/>
      <c r="AY12" s="263"/>
      <c r="AZ12" s="263"/>
      <c r="BA12" s="263"/>
      <c r="BB12" s="264"/>
    </row>
    <row r="13" spans="1:54" s="34" customFormat="1" ht="35.1" customHeight="1">
      <c r="A13" s="262"/>
      <c r="B13" s="263"/>
      <c r="C13" s="263"/>
      <c r="D13" s="263"/>
      <c r="E13" s="263"/>
      <c r="F13" s="264"/>
      <c r="G13" s="262"/>
      <c r="H13" s="263"/>
      <c r="I13" s="263"/>
      <c r="J13" s="263"/>
      <c r="K13" s="263"/>
      <c r="L13" s="264"/>
      <c r="M13" s="262"/>
      <c r="N13" s="263"/>
      <c r="O13" s="263"/>
      <c r="P13" s="263"/>
      <c r="Q13" s="263"/>
      <c r="R13" s="264"/>
      <c r="S13" s="262"/>
      <c r="T13" s="263"/>
      <c r="U13" s="263"/>
      <c r="V13" s="263"/>
      <c r="W13" s="263"/>
      <c r="X13" s="264"/>
      <c r="Y13" s="262"/>
      <c r="Z13" s="263"/>
      <c r="AA13" s="263"/>
      <c r="AB13" s="263"/>
      <c r="AC13" s="263"/>
      <c r="AD13" s="264"/>
      <c r="AE13" s="262"/>
      <c r="AF13" s="263"/>
      <c r="AG13" s="263"/>
      <c r="AH13" s="263"/>
      <c r="AI13" s="263"/>
      <c r="AJ13" s="264"/>
      <c r="AK13" s="262"/>
      <c r="AL13" s="263"/>
      <c r="AM13" s="263"/>
      <c r="AN13" s="263"/>
      <c r="AO13" s="263"/>
      <c r="AP13" s="264"/>
      <c r="AQ13" s="262"/>
      <c r="AR13" s="263"/>
      <c r="AS13" s="263"/>
      <c r="AT13" s="263"/>
      <c r="AU13" s="263"/>
      <c r="AV13" s="264"/>
      <c r="AW13" s="262"/>
      <c r="AX13" s="263"/>
      <c r="AY13" s="263"/>
      <c r="AZ13" s="263"/>
      <c r="BA13" s="263"/>
      <c r="BB13" s="264"/>
    </row>
    <row r="14" spans="1:54" s="34" customFormat="1" ht="20.100000000000001" customHeight="1">
      <c r="A14" s="262" t="s">
        <v>230</v>
      </c>
      <c r="B14" s="263"/>
      <c r="C14" s="263"/>
      <c r="D14" s="263"/>
      <c r="E14" s="263"/>
      <c r="F14" s="264"/>
      <c r="G14" s="262" t="s">
        <v>229</v>
      </c>
      <c r="H14" s="263"/>
      <c r="I14" s="263"/>
      <c r="J14" s="263"/>
      <c r="K14" s="263"/>
      <c r="L14" s="264"/>
      <c r="M14" s="262" t="s">
        <v>229</v>
      </c>
      <c r="N14" s="263"/>
      <c r="O14" s="263"/>
      <c r="P14" s="263"/>
      <c r="Q14" s="263"/>
      <c r="R14" s="264"/>
      <c r="S14" s="262" t="s">
        <v>229</v>
      </c>
      <c r="T14" s="263"/>
      <c r="U14" s="263"/>
      <c r="V14" s="263"/>
      <c r="W14" s="263"/>
      <c r="X14" s="264"/>
      <c r="Y14" s="262" t="s">
        <v>229</v>
      </c>
      <c r="Z14" s="263"/>
      <c r="AA14" s="263"/>
      <c r="AB14" s="263"/>
      <c r="AC14" s="263"/>
      <c r="AD14" s="264"/>
      <c r="AE14" s="262" t="s">
        <v>229</v>
      </c>
      <c r="AF14" s="263"/>
      <c r="AG14" s="263"/>
      <c r="AH14" s="263"/>
      <c r="AI14" s="263"/>
      <c r="AJ14" s="264"/>
      <c r="AK14" s="262"/>
      <c r="AL14" s="263"/>
      <c r="AM14" s="263"/>
      <c r="AN14" s="263"/>
      <c r="AO14" s="263"/>
      <c r="AP14" s="264"/>
      <c r="AQ14" s="262" t="s">
        <v>229</v>
      </c>
      <c r="AR14" s="263"/>
      <c r="AS14" s="263"/>
      <c r="AT14" s="263"/>
      <c r="AU14" s="263"/>
      <c r="AV14" s="264"/>
      <c r="AW14" s="262" t="s">
        <v>229</v>
      </c>
      <c r="AX14" s="263"/>
      <c r="AY14" s="263"/>
      <c r="AZ14" s="263"/>
      <c r="BA14" s="263"/>
      <c r="BB14" s="264"/>
    </row>
    <row r="15" spans="1:54" s="34" customFormat="1" ht="20.100000000000001" customHeight="1">
      <c r="A15" s="262"/>
      <c r="B15" s="263"/>
      <c r="C15" s="263"/>
      <c r="D15" s="263"/>
      <c r="E15" s="263"/>
      <c r="F15" s="264"/>
      <c r="G15" s="262"/>
      <c r="H15" s="263"/>
      <c r="I15" s="263"/>
      <c r="J15" s="263"/>
      <c r="K15" s="263"/>
      <c r="L15" s="264"/>
      <c r="M15" s="262"/>
      <c r="N15" s="263"/>
      <c r="O15" s="263"/>
      <c r="P15" s="263"/>
      <c r="Q15" s="263"/>
      <c r="R15" s="264"/>
      <c r="S15" s="262"/>
      <c r="T15" s="263"/>
      <c r="U15" s="263"/>
      <c r="V15" s="263"/>
      <c r="W15" s="263"/>
      <c r="X15" s="264"/>
      <c r="Y15" s="262"/>
      <c r="Z15" s="263"/>
      <c r="AA15" s="263"/>
      <c r="AB15" s="263"/>
      <c r="AC15" s="263"/>
      <c r="AD15" s="264"/>
      <c r="AE15" s="262"/>
      <c r="AF15" s="263"/>
      <c r="AG15" s="263"/>
      <c r="AH15" s="263"/>
      <c r="AI15" s="263"/>
      <c r="AJ15" s="264"/>
      <c r="AK15" s="262"/>
      <c r="AL15" s="263"/>
      <c r="AM15" s="263"/>
      <c r="AN15" s="263"/>
      <c r="AO15" s="263"/>
      <c r="AP15" s="264"/>
      <c r="AQ15" s="262"/>
      <c r="AR15" s="263"/>
      <c r="AS15" s="263"/>
      <c r="AT15" s="263"/>
      <c r="AU15" s="263"/>
      <c r="AV15" s="264"/>
      <c r="AW15" s="262"/>
      <c r="AX15" s="263"/>
      <c r="AY15" s="263"/>
      <c r="AZ15" s="263"/>
      <c r="BA15" s="263"/>
      <c r="BB15" s="264"/>
    </row>
    <row r="16" spans="1:54" s="34" customFormat="1" ht="20.100000000000001" customHeight="1">
      <c r="A16" s="262"/>
      <c r="B16" s="263"/>
      <c r="C16" s="263"/>
      <c r="D16" s="263"/>
      <c r="E16" s="263"/>
      <c r="F16" s="264"/>
      <c r="G16" s="262"/>
      <c r="H16" s="263"/>
      <c r="I16" s="263"/>
      <c r="J16" s="263"/>
      <c r="K16" s="263"/>
      <c r="L16" s="264"/>
      <c r="M16" s="262"/>
      <c r="N16" s="263"/>
      <c r="O16" s="263"/>
      <c r="P16" s="263"/>
      <c r="Q16" s="263"/>
      <c r="R16" s="264"/>
      <c r="S16" s="262"/>
      <c r="T16" s="263"/>
      <c r="U16" s="263"/>
      <c r="V16" s="263"/>
      <c r="W16" s="263"/>
      <c r="X16" s="264"/>
      <c r="Y16" s="262"/>
      <c r="Z16" s="263"/>
      <c r="AA16" s="263"/>
      <c r="AB16" s="263"/>
      <c r="AC16" s="263"/>
      <c r="AD16" s="264"/>
      <c r="AE16" s="262"/>
      <c r="AF16" s="263"/>
      <c r="AG16" s="263"/>
      <c r="AH16" s="263"/>
      <c r="AI16" s="263"/>
      <c r="AJ16" s="264"/>
      <c r="AK16" s="262"/>
      <c r="AL16" s="263"/>
      <c r="AM16" s="263"/>
      <c r="AN16" s="263"/>
      <c r="AO16" s="263"/>
      <c r="AP16" s="264"/>
      <c r="AQ16" s="262"/>
      <c r="AR16" s="263"/>
      <c r="AS16" s="263"/>
      <c r="AT16" s="263"/>
      <c r="AU16" s="263"/>
      <c r="AV16" s="264"/>
      <c r="AW16" s="262"/>
      <c r="AX16" s="263"/>
      <c r="AY16" s="263"/>
      <c r="AZ16" s="263"/>
      <c r="BA16" s="263"/>
      <c r="BB16" s="264"/>
    </row>
    <row r="17" spans="1:54" s="34" customFormat="1" ht="20.100000000000001" customHeight="1" thickBot="1">
      <c r="A17" s="283"/>
      <c r="B17" s="284"/>
      <c r="C17" s="284"/>
      <c r="D17" s="284"/>
      <c r="E17" s="284"/>
      <c r="F17" s="285"/>
      <c r="G17" s="283"/>
      <c r="H17" s="284"/>
      <c r="I17" s="284"/>
      <c r="J17" s="284"/>
      <c r="K17" s="284"/>
      <c r="L17" s="285"/>
      <c r="M17" s="283"/>
      <c r="N17" s="284"/>
      <c r="O17" s="284"/>
      <c r="P17" s="284"/>
      <c r="Q17" s="284"/>
      <c r="R17" s="285"/>
      <c r="S17" s="283"/>
      <c r="T17" s="284"/>
      <c r="U17" s="284"/>
      <c r="V17" s="284"/>
      <c r="W17" s="284"/>
      <c r="X17" s="285"/>
      <c r="Y17" s="283"/>
      <c r="Z17" s="284"/>
      <c r="AA17" s="284"/>
      <c r="AB17" s="284"/>
      <c r="AC17" s="284"/>
      <c r="AD17" s="285"/>
      <c r="AE17" s="283"/>
      <c r="AF17" s="284"/>
      <c r="AG17" s="284"/>
      <c r="AH17" s="284"/>
      <c r="AI17" s="284"/>
      <c r="AJ17" s="285"/>
      <c r="AK17" s="283"/>
      <c r="AL17" s="284"/>
      <c r="AM17" s="284"/>
      <c r="AN17" s="284"/>
      <c r="AO17" s="284"/>
      <c r="AP17" s="285"/>
      <c r="AQ17" s="283"/>
      <c r="AR17" s="284"/>
      <c r="AS17" s="284"/>
      <c r="AT17" s="284"/>
      <c r="AU17" s="284"/>
      <c r="AV17" s="285"/>
      <c r="AW17" s="283"/>
      <c r="AX17" s="284"/>
      <c r="AY17" s="284"/>
      <c r="AZ17" s="284"/>
      <c r="BA17" s="284"/>
      <c r="BB17" s="285"/>
    </row>
  </sheetData>
  <mergeCells count="45">
    <mergeCell ref="AQ1:AV1"/>
    <mergeCell ref="AQ2:AV5"/>
    <mergeCell ref="AQ6:AV9"/>
    <mergeCell ref="AQ10:AV13"/>
    <mergeCell ref="AK14:AP17"/>
    <mergeCell ref="AK1:AP1"/>
    <mergeCell ref="AK2:AP5"/>
    <mergeCell ref="AK6:AP9"/>
    <mergeCell ref="AK10:AP13"/>
    <mergeCell ref="AQ14:AV17"/>
    <mergeCell ref="AW1:BB1"/>
    <mergeCell ref="AW2:BB5"/>
    <mergeCell ref="AW6:BB9"/>
    <mergeCell ref="AW10:BB13"/>
    <mergeCell ref="AW14:BB17"/>
    <mergeCell ref="Y14:AD17"/>
    <mergeCell ref="AE1:AJ1"/>
    <mergeCell ref="AE2:AJ5"/>
    <mergeCell ref="AE6:AJ9"/>
    <mergeCell ref="AE10:AJ13"/>
    <mergeCell ref="AE14:AJ17"/>
    <mergeCell ref="Y1:AD1"/>
    <mergeCell ref="Y2:AD5"/>
    <mergeCell ref="Y6:AD9"/>
    <mergeCell ref="Y10:AD13"/>
    <mergeCell ref="M10:R13"/>
    <mergeCell ref="M14:R17"/>
    <mergeCell ref="S1:X1"/>
    <mergeCell ref="S2:X5"/>
    <mergeCell ref="S6:X9"/>
    <mergeCell ref="S10:X13"/>
    <mergeCell ref="S14:X17"/>
    <mergeCell ref="M1:R1"/>
    <mergeCell ref="M2:R5"/>
    <mergeCell ref="M6:R9"/>
    <mergeCell ref="G1:L1"/>
    <mergeCell ref="A1:F1"/>
    <mergeCell ref="A6:F9"/>
    <mergeCell ref="A10:F13"/>
    <mergeCell ref="A14:F17"/>
    <mergeCell ref="A2:F5"/>
    <mergeCell ref="G6:L9"/>
    <mergeCell ref="G10:L13"/>
    <mergeCell ref="G14:L17"/>
    <mergeCell ref="G2:L5"/>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
  <sheetViews>
    <sheetView zoomScaleNormal="100" workbookViewId="0">
      <selection sqref="A1:F1"/>
    </sheetView>
  </sheetViews>
  <sheetFormatPr baseColWidth="10" defaultRowHeight="12.75"/>
  <sheetData>
    <row r="1" spans="1:60" ht="13.5" thickBot="1">
      <c r="A1" s="455">
        <v>1</v>
      </c>
      <c r="B1" s="456"/>
      <c r="C1" s="456"/>
      <c r="D1" s="456"/>
      <c r="E1" s="456"/>
      <c r="F1" s="457"/>
      <c r="G1" s="455">
        <v>2</v>
      </c>
      <c r="H1" s="456"/>
      <c r="I1" s="456"/>
      <c r="J1" s="456"/>
      <c r="K1" s="456"/>
      <c r="L1" s="457"/>
      <c r="M1" s="455">
        <v>3</v>
      </c>
      <c r="N1" s="456"/>
      <c r="O1" s="456"/>
      <c r="P1" s="456"/>
      <c r="Q1" s="456"/>
      <c r="R1" s="457"/>
      <c r="S1" s="455">
        <v>4</v>
      </c>
      <c r="T1" s="456"/>
      <c r="U1" s="456"/>
      <c r="V1" s="456"/>
      <c r="W1" s="456"/>
      <c r="X1" s="457"/>
      <c r="Y1" s="455">
        <v>5</v>
      </c>
      <c r="Z1" s="456"/>
      <c r="AA1" s="456"/>
      <c r="AB1" s="456"/>
      <c r="AC1" s="456"/>
      <c r="AD1" s="457"/>
      <c r="AE1" s="455">
        <v>6</v>
      </c>
      <c r="AF1" s="456"/>
      <c r="AG1" s="456"/>
      <c r="AH1" s="456"/>
      <c r="AI1" s="456"/>
      <c r="AJ1" s="457"/>
      <c r="AK1" s="455">
        <v>7</v>
      </c>
      <c r="AL1" s="456"/>
      <c r="AM1" s="456"/>
      <c r="AN1" s="456"/>
      <c r="AO1" s="456"/>
      <c r="AP1" s="457"/>
      <c r="AQ1" s="455">
        <v>8</v>
      </c>
      <c r="AR1" s="456"/>
      <c r="AS1" s="456"/>
      <c r="AT1" s="456"/>
      <c r="AU1" s="456"/>
      <c r="AV1" s="457"/>
      <c r="AW1" s="455">
        <v>9</v>
      </c>
      <c r="AX1" s="456"/>
      <c r="AY1" s="456"/>
      <c r="AZ1" s="456"/>
      <c r="BA1" s="456"/>
      <c r="BB1" s="457"/>
      <c r="BC1" s="458"/>
      <c r="BD1" s="458"/>
      <c r="BE1" s="458"/>
      <c r="BF1" s="458"/>
      <c r="BG1" s="458"/>
      <c r="BH1" s="458"/>
    </row>
    <row r="2" spans="1:60" ht="78.75" customHeight="1" thickBot="1">
      <c r="A2" s="299" t="s">
        <v>231</v>
      </c>
      <c r="B2" s="300"/>
      <c r="C2" s="300"/>
      <c r="D2" s="300"/>
      <c r="E2" s="300"/>
      <c r="F2" s="301"/>
      <c r="G2" s="299" t="s">
        <v>232</v>
      </c>
      <c r="H2" s="300"/>
      <c r="I2" s="300"/>
      <c r="J2" s="300"/>
      <c r="K2" s="300"/>
      <c r="L2" s="301"/>
      <c r="M2" s="299" t="s">
        <v>233</v>
      </c>
      <c r="N2" s="300"/>
      <c r="O2" s="300"/>
      <c r="P2" s="300"/>
      <c r="Q2" s="300"/>
      <c r="R2" s="301"/>
      <c r="S2" s="299" t="s">
        <v>84</v>
      </c>
      <c r="T2" s="300"/>
      <c r="U2" s="300"/>
      <c r="V2" s="300"/>
      <c r="W2" s="300"/>
      <c r="X2" s="301"/>
      <c r="Y2" s="299" t="s">
        <v>85</v>
      </c>
      <c r="Z2" s="300"/>
      <c r="AA2" s="300"/>
      <c r="AB2" s="300"/>
      <c r="AC2" s="300"/>
      <c r="AD2" s="301"/>
      <c r="AE2" s="299" t="s">
        <v>86</v>
      </c>
      <c r="AF2" s="300"/>
      <c r="AG2" s="300"/>
      <c r="AH2" s="300"/>
      <c r="AI2" s="300"/>
      <c r="AJ2" s="301"/>
      <c r="AK2" s="299" t="s">
        <v>87</v>
      </c>
      <c r="AL2" s="300"/>
      <c r="AM2" s="300"/>
      <c r="AN2" s="300"/>
      <c r="AO2" s="300"/>
      <c r="AP2" s="301"/>
      <c r="AQ2" s="299" t="s">
        <v>88</v>
      </c>
      <c r="AR2" s="300"/>
      <c r="AS2" s="300"/>
      <c r="AT2" s="300"/>
      <c r="AU2" s="300"/>
      <c r="AV2" s="301"/>
      <c r="AW2" s="299" t="s">
        <v>333</v>
      </c>
      <c r="AX2" s="300"/>
      <c r="AY2" s="300"/>
      <c r="AZ2" s="300"/>
      <c r="BA2" s="300"/>
      <c r="BB2" s="301"/>
    </row>
  </sheetData>
  <mergeCells count="19">
    <mergeCell ref="AW1:BB1"/>
    <mergeCell ref="BC1:BH1"/>
    <mergeCell ref="AQ2:AV2"/>
    <mergeCell ref="AW2:BB2"/>
    <mergeCell ref="AE1:AJ1"/>
    <mergeCell ref="AK1:AP1"/>
    <mergeCell ref="AQ1:AV1"/>
    <mergeCell ref="S2:X2"/>
    <mergeCell ref="Y2:AD2"/>
    <mergeCell ref="AE2:AJ2"/>
    <mergeCell ref="AK2:AP2"/>
    <mergeCell ref="S1:X1"/>
    <mergeCell ref="Y1:AD1"/>
    <mergeCell ref="A1:F1"/>
    <mergeCell ref="A2:F2"/>
    <mergeCell ref="G2:L2"/>
    <mergeCell ref="M2:R2"/>
    <mergeCell ref="G1:L1"/>
    <mergeCell ref="M1:R1"/>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topLeftCell="C4" workbookViewId="0"/>
  </sheetViews>
  <sheetFormatPr baseColWidth="10" defaultRowHeight="12.75"/>
  <cols>
    <col min="1" max="1" width="3.7109375" style="31" hidden="1" customWidth="1"/>
    <col min="2" max="2" width="4.7109375" style="31" hidden="1" customWidth="1"/>
    <col min="3" max="3" width="10.140625" bestFit="1" customWidth="1"/>
    <col min="4" max="4" width="3.7109375" style="31" hidden="1" customWidth="1"/>
    <col min="5" max="5" width="4.7109375" style="31" hidden="1" customWidth="1"/>
    <col min="6" max="6" width="10.140625" bestFit="1" customWidth="1"/>
    <col min="7" max="7" width="12.28515625" bestFit="1" customWidth="1"/>
    <col min="8" max="16" width="3" bestFit="1" customWidth="1"/>
    <col min="18" max="26" width="3" bestFit="1" customWidth="1"/>
  </cols>
  <sheetData>
    <row r="1" spans="1:26" ht="15" thickBot="1">
      <c r="C1" s="19">
        <v>1</v>
      </c>
      <c r="F1" s="19">
        <v>2</v>
      </c>
      <c r="G1" s="20">
        <v>3</v>
      </c>
      <c r="H1" s="19">
        <v>4</v>
      </c>
      <c r="I1" s="19">
        <v>5</v>
      </c>
      <c r="J1" s="19">
        <v>6</v>
      </c>
      <c r="K1" s="19">
        <v>7</v>
      </c>
      <c r="L1" s="19">
        <v>8</v>
      </c>
      <c r="M1" s="19">
        <v>9</v>
      </c>
      <c r="N1" s="19">
        <v>10</v>
      </c>
      <c r="O1" s="19">
        <v>11</v>
      </c>
      <c r="P1" s="19">
        <v>12</v>
      </c>
      <c r="Q1" s="19"/>
      <c r="R1" s="19"/>
      <c r="S1" s="19"/>
      <c r="T1" s="19"/>
      <c r="U1" s="19"/>
      <c r="V1" s="19"/>
      <c r="W1" s="19"/>
      <c r="X1" s="19"/>
      <c r="Y1" s="19"/>
      <c r="Z1" s="19"/>
    </row>
    <row r="2" spans="1:26">
      <c r="A2" s="461" t="s">
        <v>334</v>
      </c>
      <c r="B2" s="248"/>
      <c r="C2" s="248"/>
      <c r="D2" s="248"/>
      <c r="E2" s="248"/>
      <c r="F2" s="248"/>
      <c r="G2" s="53" t="s">
        <v>201</v>
      </c>
      <c r="H2" s="459" t="s">
        <v>335</v>
      </c>
      <c r="I2" s="459"/>
      <c r="J2" s="459"/>
      <c r="K2" s="459"/>
      <c r="L2" s="459"/>
      <c r="M2" s="459"/>
      <c r="N2" s="459"/>
      <c r="O2" s="459"/>
      <c r="P2" s="460"/>
      <c r="R2" s="459"/>
      <c r="S2" s="459"/>
      <c r="T2" s="459"/>
      <c r="U2" s="459"/>
      <c r="V2" s="459"/>
      <c r="W2" s="459"/>
      <c r="X2" s="459"/>
      <c r="Y2" s="459"/>
      <c r="Z2" s="460"/>
    </row>
    <row r="3" spans="1:26" ht="21">
      <c r="A3" s="128" t="s">
        <v>322</v>
      </c>
      <c r="B3" s="25" t="s">
        <v>323</v>
      </c>
      <c r="C3" s="124" t="s">
        <v>336</v>
      </c>
      <c r="D3" s="25" t="s">
        <v>322</v>
      </c>
      <c r="E3" s="25" t="s">
        <v>323</v>
      </c>
      <c r="F3" s="124" t="s">
        <v>337</v>
      </c>
      <c r="G3" s="125" t="s">
        <v>338</v>
      </c>
      <c r="H3" s="21">
        <v>1</v>
      </c>
      <c r="I3" s="22">
        <v>2</v>
      </c>
      <c r="J3" s="23">
        <v>3</v>
      </c>
      <c r="K3" s="21">
        <v>4</v>
      </c>
      <c r="L3" s="22">
        <v>5</v>
      </c>
      <c r="M3" s="23">
        <v>6</v>
      </c>
      <c r="N3" s="21">
        <v>7</v>
      </c>
      <c r="O3" s="22">
        <v>8</v>
      </c>
      <c r="P3" s="24">
        <v>9</v>
      </c>
      <c r="Q3" s="127">
        <v>1</v>
      </c>
      <c r="R3" s="21">
        <v>1</v>
      </c>
      <c r="S3" s="22">
        <v>2</v>
      </c>
      <c r="T3" s="23">
        <v>3</v>
      </c>
      <c r="U3" s="21">
        <v>4</v>
      </c>
      <c r="V3" s="22">
        <v>5</v>
      </c>
      <c r="W3" s="23">
        <v>6</v>
      </c>
      <c r="X3" s="21">
        <v>7</v>
      </c>
      <c r="Y3" s="22">
        <v>8</v>
      </c>
      <c r="Z3" s="24">
        <v>9</v>
      </c>
    </row>
    <row r="4" spans="1:26">
      <c r="A4" s="128">
        <v>8</v>
      </c>
      <c r="B4" s="25">
        <v>12</v>
      </c>
      <c r="C4" s="126">
        <f ca="1">DATE(YEAR(TODAY())-1,B4,A4)</f>
        <v>43442</v>
      </c>
      <c r="D4" s="25">
        <v>5</v>
      </c>
      <c r="E4" s="25">
        <v>1</v>
      </c>
      <c r="F4" s="126">
        <f ca="1">DATE(YEAR(TODAY()),E4,D4)</f>
        <v>43470</v>
      </c>
      <c r="G4" s="25">
        <f t="shared" ref="G4:G15" ca="1" si="0">DAYS360(C4,F4)</f>
        <v>27</v>
      </c>
      <c r="H4" s="26">
        <v>7</v>
      </c>
      <c r="I4" s="26">
        <v>1</v>
      </c>
      <c r="J4" s="26">
        <v>4</v>
      </c>
      <c r="K4" s="26">
        <v>7</v>
      </c>
      <c r="L4" s="26">
        <v>1</v>
      </c>
      <c r="M4" s="26">
        <v>4</v>
      </c>
      <c r="N4" s="26">
        <v>7</v>
      </c>
      <c r="O4" s="26">
        <v>1</v>
      </c>
      <c r="P4" s="27">
        <v>4</v>
      </c>
      <c r="Q4" s="127">
        <v>2</v>
      </c>
      <c r="R4" s="26">
        <v>7</v>
      </c>
      <c r="S4" s="26">
        <v>1</v>
      </c>
      <c r="T4" s="26">
        <v>4</v>
      </c>
      <c r="U4" s="26">
        <v>7</v>
      </c>
      <c r="V4" s="26">
        <v>1</v>
      </c>
      <c r="W4" s="26">
        <v>4</v>
      </c>
      <c r="X4" s="26">
        <v>7</v>
      </c>
      <c r="Y4" s="26">
        <v>1</v>
      </c>
      <c r="Z4" s="27">
        <v>4</v>
      </c>
    </row>
    <row r="5" spans="1:26">
      <c r="A5" s="128">
        <v>6</v>
      </c>
      <c r="B5" s="25">
        <v>1</v>
      </c>
      <c r="C5" s="126">
        <f ca="1">DATE(YEAR(TODAY()),B5,A5)</f>
        <v>43471</v>
      </c>
      <c r="D5" s="25">
        <v>3</v>
      </c>
      <c r="E5" s="25">
        <v>2</v>
      </c>
      <c r="F5" s="126">
        <f ca="1">DATE(YEAR(TODAY()),E5,D5)</f>
        <v>43499</v>
      </c>
      <c r="G5" s="25">
        <f t="shared" ca="1" si="0"/>
        <v>27</v>
      </c>
      <c r="H5" s="26">
        <v>6</v>
      </c>
      <c r="I5" s="26">
        <v>9</v>
      </c>
      <c r="J5" s="26">
        <v>3</v>
      </c>
      <c r="K5" s="26">
        <v>6</v>
      </c>
      <c r="L5" s="26">
        <v>9</v>
      </c>
      <c r="M5" s="26">
        <v>3</v>
      </c>
      <c r="N5" s="26">
        <v>6</v>
      </c>
      <c r="O5" s="26">
        <v>9</v>
      </c>
      <c r="P5" s="27">
        <v>3</v>
      </c>
      <c r="Q5" s="127">
        <v>3</v>
      </c>
      <c r="R5" s="26">
        <v>6</v>
      </c>
      <c r="S5" s="26">
        <v>9</v>
      </c>
      <c r="T5" s="26">
        <v>3</v>
      </c>
      <c r="U5" s="26">
        <v>6</v>
      </c>
      <c r="V5" s="26">
        <v>9</v>
      </c>
      <c r="W5" s="26">
        <v>3</v>
      </c>
      <c r="X5" s="26">
        <v>6</v>
      </c>
      <c r="Y5" s="26">
        <v>9</v>
      </c>
      <c r="Z5" s="27">
        <v>3</v>
      </c>
    </row>
    <row r="6" spans="1:26">
      <c r="A6" s="128">
        <v>4</v>
      </c>
      <c r="B6" s="25">
        <v>2</v>
      </c>
      <c r="C6" s="126">
        <f ca="1">DATE(YEAR(TODAY()),B6,A6)</f>
        <v>43500</v>
      </c>
      <c r="D6" s="25">
        <v>5</v>
      </c>
      <c r="E6" s="25">
        <v>3</v>
      </c>
      <c r="F6" s="126">
        <f ca="1">DATE(YEAR(TODAY()),E6,D6)</f>
        <v>43529</v>
      </c>
      <c r="G6" s="25">
        <f t="shared" ca="1" si="0"/>
        <v>31</v>
      </c>
      <c r="H6" s="26">
        <v>8</v>
      </c>
      <c r="I6" s="26">
        <v>2</v>
      </c>
      <c r="J6" s="26">
        <v>5</v>
      </c>
      <c r="K6" s="26">
        <v>8</v>
      </c>
      <c r="L6" s="26">
        <v>2</v>
      </c>
      <c r="M6" s="26">
        <v>5</v>
      </c>
      <c r="N6" s="26">
        <v>8</v>
      </c>
      <c r="O6" s="26">
        <v>2</v>
      </c>
      <c r="P6" s="27">
        <v>5</v>
      </c>
      <c r="Q6" s="127">
        <v>4</v>
      </c>
      <c r="R6" s="26">
        <v>8</v>
      </c>
      <c r="S6" s="26">
        <v>2</v>
      </c>
      <c r="T6" s="26">
        <v>5</v>
      </c>
      <c r="U6" s="26">
        <v>8</v>
      </c>
      <c r="V6" s="26">
        <v>2</v>
      </c>
      <c r="W6" s="26">
        <v>5</v>
      </c>
      <c r="X6" s="26">
        <v>8</v>
      </c>
      <c r="Y6" s="26">
        <v>2</v>
      </c>
      <c r="Z6" s="27">
        <v>5</v>
      </c>
    </row>
    <row r="7" spans="1:26">
      <c r="A7" s="128">
        <v>6</v>
      </c>
      <c r="B7" s="25">
        <v>3</v>
      </c>
      <c r="C7" s="126">
        <f t="shared" ref="C7:C15" ca="1" si="1">DATE(YEAR(TODAY()),B7,A7)</f>
        <v>43530</v>
      </c>
      <c r="D7" s="25">
        <v>5</v>
      </c>
      <c r="E7" s="25">
        <v>4</v>
      </c>
      <c r="F7" s="126">
        <f t="shared" ref="F7:F15" ca="1" si="2">DATE(YEAR(TODAY()),E7,D7)</f>
        <v>43560</v>
      </c>
      <c r="G7" s="25">
        <f t="shared" ca="1" si="0"/>
        <v>29</v>
      </c>
      <c r="H7" s="26">
        <v>7</v>
      </c>
      <c r="I7" s="26">
        <v>1</v>
      </c>
      <c r="J7" s="26">
        <v>4</v>
      </c>
      <c r="K7" s="26">
        <v>7</v>
      </c>
      <c r="L7" s="26">
        <v>1</v>
      </c>
      <c r="M7" s="26">
        <v>4</v>
      </c>
      <c r="N7" s="26">
        <v>7</v>
      </c>
      <c r="O7" s="26">
        <v>1</v>
      </c>
      <c r="P7" s="27">
        <v>4</v>
      </c>
      <c r="Q7" s="127">
        <v>5</v>
      </c>
      <c r="R7" s="26">
        <v>7</v>
      </c>
      <c r="S7" s="26">
        <v>1</v>
      </c>
      <c r="T7" s="26">
        <v>4</v>
      </c>
      <c r="U7" s="26">
        <v>7</v>
      </c>
      <c r="V7" s="26">
        <v>1</v>
      </c>
      <c r="W7" s="26">
        <v>4</v>
      </c>
      <c r="X7" s="26">
        <v>7</v>
      </c>
      <c r="Y7" s="26">
        <v>1</v>
      </c>
      <c r="Z7" s="27">
        <v>4</v>
      </c>
    </row>
    <row r="8" spans="1:26">
      <c r="A8" s="128">
        <v>6</v>
      </c>
      <c r="B8" s="25">
        <v>4</v>
      </c>
      <c r="C8" s="126">
        <f t="shared" ca="1" si="1"/>
        <v>43561</v>
      </c>
      <c r="D8" s="25">
        <v>5</v>
      </c>
      <c r="E8" s="25">
        <v>5</v>
      </c>
      <c r="F8" s="126">
        <f t="shared" ca="1" si="2"/>
        <v>43590</v>
      </c>
      <c r="G8" s="25">
        <f t="shared" ca="1" si="0"/>
        <v>29</v>
      </c>
      <c r="H8" s="26">
        <v>6</v>
      </c>
      <c r="I8" s="26">
        <v>9</v>
      </c>
      <c r="J8" s="26">
        <v>3</v>
      </c>
      <c r="K8" s="26">
        <v>6</v>
      </c>
      <c r="L8" s="26">
        <v>9</v>
      </c>
      <c r="M8" s="26">
        <v>3</v>
      </c>
      <c r="N8" s="26">
        <v>6</v>
      </c>
      <c r="O8" s="26">
        <v>9</v>
      </c>
      <c r="P8" s="27">
        <v>3</v>
      </c>
      <c r="Q8" s="127">
        <v>6</v>
      </c>
      <c r="R8" s="26">
        <v>6</v>
      </c>
      <c r="S8" s="26">
        <v>9</v>
      </c>
      <c r="T8" s="26">
        <v>3</v>
      </c>
      <c r="U8" s="26">
        <v>6</v>
      </c>
      <c r="V8" s="26">
        <v>9</v>
      </c>
      <c r="W8" s="26">
        <v>3</v>
      </c>
      <c r="X8" s="26">
        <v>6</v>
      </c>
      <c r="Y8" s="26">
        <v>9</v>
      </c>
      <c r="Z8" s="27">
        <v>3</v>
      </c>
    </row>
    <row r="9" spans="1:26">
      <c r="A9" s="128">
        <v>6</v>
      </c>
      <c r="B9" s="25">
        <v>5</v>
      </c>
      <c r="C9" s="126">
        <f t="shared" ca="1" si="1"/>
        <v>43591</v>
      </c>
      <c r="D9" s="25">
        <v>5</v>
      </c>
      <c r="E9" s="25">
        <v>6</v>
      </c>
      <c r="F9" s="126">
        <f t="shared" ca="1" si="2"/>
        <v>43621</v>
      </c>
      <c r="G9" s="25">
        <f t="shared" ca="1" si="0"/>
        <v>29</v>
      </c>
      <c r="H9" s="26">
        <v>5</v>
      </c>
      <c r="I9" s="26">
        <v>8</v>
      </c>
      <c r="J9" s="26">
        <v>2</v>
      </c>
      <c r="K9" s="26">
        <v>5</v>
      </c>
      <c r="L9" s="26">
        <v>8</v>
      </c>
      <c r="M9" s="26">
        <v>2</v>
      </c>
      <c r="N9" s="26">
        <v>5</v>
      </c>
      <c r="O9" s="26">
        <v>8</v>
      </c>
      <c r="P9" s="27">
        <v>2</v>
      </c>
      <c r="Q9" s="127">
        <v>7</v>
      </c>
      <c r="R9" s="26">
        <v>5</v>
      </c>
      <c r="S9" s="26">
        <v>8</v>
      </c>
      <c r="T9" s="26">
        <v>2</v>
      </c>
      <c r="U9" s="26">
        <v>5</v>
      </c>
      <c r="V9" s="26">
        <v>8</v>
      </c>
      <c r="W9" s="26">
        <v>2</v>
      </c>
      <c r="X9" s="26">
        <v>5</v>
      </c>
      <c r="Y9" s="26">
        <v>8</v>
      </c>
      <c r="Z9" s="27">
        <v>2</v>
      </c>
    </row>
    <row r="10" spans="1:26">
      <c r="A10" s="128">
        <v>6</v>
      </c>
      <c r="B10" s="25">
        <v>6</v>
      </c>
      <c r="C10" s="126">
        <f t="shared" ca="1" si="1"/>
        <v>43622</v>
      </c>
      <c r="D10" s="25">
        <v>7</v>
      </c>
      <c r="E10" s="25">
        <v>7</v>
      </c>
      <c r="F10" s="126">
        <f t="shared" ca="1" si="2"/>
        <v>43653</v>
      </c>
      <c r="G10" s="25">
        <f t="shared" ca="1" si="0"/>
        <v>31</v>
      </c>
      <c r="H10" s="26">
        <v>4</v>
      </c>
      <c r="I10" s="26">
        <v>7</v>
      </c>
      <c r="J10" s="26">
        <v>1</v>
      </c>
      <c r="K10" s="26">
        <v>4</v>
      </c>
      <c r="L10" s="26">
        <v>7</v>
      </c>
      <c r="M10" s="26">
        <v>1</v>
      </c>
      <c r="N10" s="26">
        <v>4</v>
      </c>
      <c r="O10" s="26">
        <v>7</v>
      </c>
      <c r="P10" s="27">
        <v>1</v>
      </c>
      <c r="Q10" s="127">
        <v>8</v>
      </c>
      <c r="R10" s="26">
        <v>4</v>
      </c>
      <c r="S10" s="26">
        <v>7</v>
      </c>
      <c r="T10" s="26">
        <v>1</v>
      </c>
      <c r="U10" s="26">
        <v>4</v>
      </c>
      <c r="V10" s="26">
        <v>7</v>
      </c>
      <c r="W10" s="26">
        <v>1</v>
      </c>
      <c r="X10" s="26">
        <v>4</v>
      </c>
      <c r="Y10" s="26">
        <v>7</v>
      </c>
      <c r="Z10" s="27">
        <v>1</v>
      </c>
    </row>
    <row r="11" spans="1:26">
      <c r="A11" s="128">
        <v>8</v>
      </c>
      <c r="B11" s="25">
        <v>7</v>
      </c>
      <c r="C11" s="126">
        <f t="shared" ca="1" si="1"/>
        <v>43654</v>
      </c>
      <c r="D11" s="25">
        <v>7</v>
      </c>
      <c r="E11" s="25">
        <v>8</v>
      </c>
      <c r="F11" s="126">
        <f t="shared" ca="1" si="2"/>
        <v>43684</v>
      </c>
      <c r="G11" s="25">
        <f t="shared" ca="1" si="0"/>
        <v>29</v>
      </c>
      <c r="H11" s="26">
        <v>3</v>
      </c>
      <c r="I11" s="26">
        <v>6</v>
      </c>
      <c r="J11" s="26">
        <v>9</v>
      </c>
      <c r="K11" s="26">
        <v>3</v>
      </c>
      <c r="L11" s="26">
        <v>6</v>
      </c>
      <c r="M11" s="26">
        <v>9</v>
      </c>
      <c r="N11" s="26">
        <v>3</v>
      </c>
      <c r="O11" s="26">
        <v>6</v>
      </c>
      <c r="P11" s="27">
        <v>9</v>
      </c>
      <c r="Q11" s="127">
        <v>9</v>
      </c>
      <c r="R11" s="26">
        <v>3</v>
      </c>
      <c r="S11" s="26">
        <v>6</v>
      </c>
      <c r="T11" s="26">
        <v>9</v>
      </c>
      <c r="U11" s="26">
        <v>3</v>
      </c>
      <c r="V11" s="26">
        <v>6</v>
      </c>
      <c r="W11" s="26">
        <v>9</v>
      </c>
      <c r="X11" s="26">
        <v>3</v>
      </c>
      <c r="Y11" s="26">
        <v>6</v>
      </c>
      <c r="Z11" s="27">
        <v>9</v>
      </c>
    </row>
    <row r="12" spans="1:26">
      <c r="A12" s="128">
        <v>8</v>
      </c>
      <c r="B12" s="25">
        <v>8</v>
      </c>
      <c r="C12" s="126">
        <f t="shared" ca="1" si="1"/>
        <v>43685</v>
      </c>
      <c r="D12" s="25">
        <v>7</v>
      </c>
      <c r="E12" s="25">
        <v>9</v>
      </c>
      <c r="F12" s="126">
        <f t="shared" ca="1" si="2"/>
        <v>43715</v>
      </c>
      <c r="G12" s="25">
        <f t="shared" ca="1" si="0"/>
        <v>29</v>
      </c>
      <c r="H12" s="26">
        <v>2</v>
      </c>
      <c r="I12" s="26">
        <v>5</v>
      </c>
      <c r="J12" s="26">
        <v>8</v>
      </c>
      <c r="K12" s="26">
        <v>2</v>
      </c>
      <c r="L12" s="26">
        <v>5</v>
      </c>
      <c r="M12" s="26">
        <v>8</v>
      </c>
      <c r="N12" s="26">
        <v>2</v>
      </c>
      <c r="O12" s="26">
        <v>5</v>
      </c>
      <c r="P12" s="27">
        <v>8</v>
      </c>
      <c r="Q12" s="127">
        <v>10</v>
      </c>
      <c r="R12" s="26">
        <v>2</v>
      </c>
      <c r="S12" s="26">
        <v>5</v>
      </c>
      <c r="T12" s="26">
        <v>8</v>
      </c>
      <c r="U12" s="26">
        <v>2</v>
      </c>
      <c r="V12" s="26">
        <v>5</v>
      </c>
      <c r="W12" s="26">
        <v>8</v>
      </c>
      <c r="X12" s="26">
        <v>2</v>
      </c>
      <c r="Y12" s="26">
        <v>5</v>
      </c>
      <c r="Z12" s="27">
        <v>8</v>
      </c>
    </row>
    <row r="13" spans="1:26">
      <c r="A13" s="128">
        <v>8</v>
      </c>
      <c r="B13" s="25">
        <v>9</v>
      </c>
      <c r="C13" s="126">
        <f t="shared" ca="1" si="1"/>
        <v>43716</v>
      </c>
      <c r="D13" s="25">
        <v>8</v>
      </c>
      <c r="E13" s="25">
        <v>10</v>
      </c>
      <c r="F13" s="126">
        <f t="shared" ca="1" si="2"/>
        <v>43746</v>
      </c>
      <c r="G13" s="25">
        <f t="shared" ca="1" si="0"/>
        <v>30</v>
      </c>
      <c r="H13" s="26">
        <v>1</v>
      </c>
      <c r="I13" s="26">
        <v>4</v>
      </c>
      <c r="J13" s="26">
        <v>7</v>
      </c>
      <c r="K13" s="26">
        <v>1</v>
      </c>
      <c r="L13" s="26">
        <v>4</v>
      </c>
      <c r="M13" s="26">
        <v>7</v>
      </c>
      <c r="N13" s="26">
        <v>1</v>
      </c>
      <c r="O13" s="26">
        <v>4</v>
      </c>
      <c r="P13" s="27">
        <v>7</v>
      </c>
      <c r="Q13" s="127">
        <v>11</v>
      </c>
      <c r="R13" s="26">
        <v>1</v>
      </c>
      <c r="S13" s="26">
        <v>4</v>
      </c>
      <c r="T13" s="26">
        <v>7</v>
      </c>
      <c r="U13" s="26">
        <v>1</v>
      </c>
      <c r="V13" s="26">
        <v>4</v>
      </c>
      <c r="W13" s="26">
        <v>7</v>
      </c>
      <c r="X13" s="26">
        <v>1</v>
      </c>
      <c r="Y13" s="26">
        <v>4</v>
      </c>
      <c r="Z13" s="27">
        <v>7</v>
      </c>
    </row>
    <row r="14" spans="1:26">
      <c r="A14" s="128">
        <v>9</v>
      </c>
      <c r="B14" s="25">
        <v>10</v>
      </c>
      <c r="C14" s="126">
        <f t="shared" ca="1" si="1"/>
        <v>43747</v>
      </c>
      <c r="D14" s="25">
        <v>7</v>
      </c>
      <c r="E14" s="25">
        <v>11</v>
      </c>
      <c r="F14" s="126">
        <f t="shared" ca="1" si="2"/>
        <v>43776</v>
      </c>
      <c r="G14" s="25">
        <f t="shared" ca="1" si="0"/>
        <v>28</v>
      </c>
      <c r="H14" s="26">
        <v>9</v>
      </c>
      <c r="I14" s="26">
        <v>3</v>
      </c>
      <c r="J14" s="26">
        <v>6</v>
      </c>
      <c r="K14" s="26">
        <v>9</v>
      </c>
      <c r="L14" s="26">
        <v>3</v>
      </c>
      <c r="M14" s="26">
        <v>6</v>
      </c>
      <c r="N14" s="26">
        <v>9</v>
      </c>
      <c r="O14" s="26">
        <v>3</v>
      </c>
      <c r="P14" s="27">
        <v>6</v>
      </c>
      <c r="Q14" s="127">
        <v>12</v>
      </c>
      <c r="R14" s="26">
        <v>9</v>
      </c>
      <c r="S14" s="26">
        <v>3</v>
      </c>
      <c r="T14" s="26">
        <v>6</v>
      </c>
      <c r="U14" s="26">
        <v>9</v>
      </c>
      <c r="V14" s="26">
        <v>3</v>
      </c>
      <c r="W14" s="26">
        <v>6</v>
      </c>
      <c r="X14" s="26">
        <v>9</v>
      </c>
      <c r="Y14" s="26">
        <v>3</v>
      </c>
      <c r="Z14" s="27">
        <v>6</v>
      </c>
    </row>
    <row r="15" spans="1:26" ht="13.5" thickBot="1">
      <c r="A15" s="129">
        <v>8</v>
      </c>
      <c r="B15" s="28">
        <v>11</v>
      </c>
      <c r="C15" s="130">
        <f t="shared" ca="1" si="1"/>
        <v>43777</v>
      </c>
      <c r="D15" s="28">
        <v>7</v>
      </c>
      <c r="E15" s="28">
        <v>12</v>
      </c>
      <c r="F15" s="130">
        <f t="shared" ca="1" si="2"/>
        <v>43806</v>
      </c>
      <c r="G15" s="28">
        <f t="shared" ca="1" si="0"/>
        <v>29</v>
      </c>
      <c r="H15" s="29">
        <v>8</v>
      </c>
      <c r="I15" s="29">
        <v>2</v>
      </c>
      <c r="J15" s="29">
        <v>5</v>
      </c>
      <c r="K15" s="29">
        <v>8</v>
      </c>
      <c r="L15" s="29">
        <v>2</v>
      </c>
      <c r="M15" s="29">
        <v>5</v>
      </c>
      <c r="N15" s="29">
        <v>8</v>
      </c>
      <c r="O15" s="29">
        <v>2</v>
      </c>
      <c r="P15" s="30">
        <v>5</v>
      </c>
      <c r="Q15" s="127">
        <v>13</v>
      </c>
      <c r="R15" s="29">
        <v>8</v>
      </c>
      <c r="S15" s="29">
        <v>2</v>
      </c>
      <c r="T15" s="29">
        <v>5</v>
      </c>
      <c r="U15" s="29">
        <v>8</v>
      </c>
      <c r="V15" s="29">
        <v>2</v>
      </c>
      <c r="W15" s="29">
        <v>5</v>
      </c>
      <c r="X15" s="29">
        <v>8</v>
      </c>
      <c r="Y15" s="29">
        <v>2</v>
      </c>
      <c r="Z15" s="30">
        <v>5</v>
      </c>
    </row>
    <row r="16" spans="1:26">
      <c r="G16" s="31"/>
    </row>
    <row r="17" spans="6:18">
      <c r="G17" s="31"/>
      <c r="H17" s="32"/>
      <c r="R17" s="32"/>
    </row>
    <row r="18" spans="6:18">
      <c r="G18" s="31"/>
    </row>
    <row r="19" spans="6:18">
      <c r="G19" s="31"/>
    </row>
    <row r="20" spans="6:18">
      <c r="G20" s="33">
        <f>+Ki!C8</f>
        <v>19412</v>
      </c>
    </row>
    <row r="21" spans="6:18">
      <c r="G21" s="33">
        <f ca="1">+Ki!G8</f>
        <v>43518</v>
      </c>
    </row>
    <row r="22" spans="6:18">
      <c r="G22" s="31">
        <f ca="1">IF(AND($G$21&gt;C4,G21&gt;F10),"NO",IF($G$21&lt;=F4,2,IF($G$21&lt;=F5,3,IF($G$21&lt;=F6,4,IF($G$21&lt;=F7,5,IF($G$21&lt;=F8,6,IF($G$21&lt;=F9,7,IF($G$21&lt;=F10,8,"NO"))))))))</f>
        <v>4</v>
      </c>
    </row>
    <row r="23" spans="6:18">
      <c r="G23" s="31" t="str">
        <f ca="1">IF(G22&lt;&gt;"NO","NO",IF($G$21&lt;=F11,9,IF($G$21&lt;=F12,10,IF($G$21&lt;=F13,11,IF($G$21&lt;=F14,12,IF($G$21&lt;=F15,13,"NO"))))))</f>
        <v>NO</v>
      </c>
      <c r="Q23" s="127"/>
    </row>
    <row r="24" spans="6:18">
      <c r="G24" s="31">
        <f ca="1">IF(AND(G22="NO",G23="NO"),2,IF(G22="NO",G23,G22))</f>
        <v>4</v>
      </c>
    </row>
    <row r="25" spans="6:18" ht="13.5" thickBot="1">
      <c r="G25" s="31">
        <f ca="1">HLOOKUP(Ki!I19,F3:P15,G24)</f>
        <v>2</v>
      </c>
    </row>
    <row r="26" spans="6:18" ht="12.75" customHeight="1">
      <c r="F26" s="238" t="s">
        <v>168</v>
      </c>
      <c r="G26" s="239"/>
      <c r="H26" s="239"/>
      <c r="I26" s="240"/>
      <c r="K26" s="238">
        <f>+Ki!I19</f>
        <v>2</v>
      </c>
      <c r="L26" s="239"/>
      <c r="M26" s="240"/>
    </row>
    <row r="27" spans="6:18" ht="12.75" customHeight="1">
      <c r="F27" s="241"/>
      <c r="G27" s="242"/>
      <c r="H27" s="242"/>
      <c r="I27" s="243"/>
      <c r="K27" s="241"/>
      <c r="L27" s="242"/>
      <c r="M27" s="243"/>
    </row>
    <row r="28" spans="6:18" ht="12.75" customHeight="1">
      <c r="F28" s="241"/>
      <c r="G28" s="242"/>
      <c r="H28" s="242"/>
      <c r="I28" s="243"/>
      <c r="K28" s="241"/>
      <c r="L28" s="242"/>
      <c r="M28" s="243"/>
    </row>
    <row r="29" spans="6:18" ht="12.75" customHeight="1">
      <c r="F29" s="241"/>
      <c r="G29" s="242"/>
      <c r="H29" s="242"/>
      <c r="I29" s="243"/>
      <c r="K29" s="241"/>
      <c r="L29" s="242"/>
      <c r="M29" s="243"/>
    </row>
    <row r="30" spans="6:18" ht="13.5" customHeight="1" thickBot="1">
      <c r="F30" s="244"/>
      <c r="G30" s="245"/>
      <c r="H30" s="245"/>
      <c r="I30" s="246"/>
      <c r="K30" s="244"/>
      <c r="L30" s="245"/>
      <c r="M30" s="246"/>
    </row>
    <row r="31" spans="6:18" ht="13.5" thickBot="1"/>
    <row r="32" spans="6:18" ht="12.75" customHeight="1">
      <c r="F32" s="238" t="s">
        <v>169</v>
      </c>
      <c r="G32" s="239"/>
      <c r="H32" s="239"/>
      <c r="I32" s="240"/>
      <c r="K32" s="238">
        <f ca="1">+G25</f>
        <v>2</v>
      </c>
      <c r="L32" s="239"/>
      <c r="M32" s="240"/>
    </row>
    <row r="33" spans="6:13" ht="12.75" customHeight="1">
      <c r="F33" s="241"/>
      <c r="G33" s="242"/>
      <c r="H33" s="242"/>
      <c r="I33" s="243"/>
      <c r="K33" s="241"/>
      <c r="L33" s="242"/>
      <c r="M33" s="243"/>
    </row>
    <row r="34" spans="6:13" ht="12.75" customHeight="1">
      <c r="F34" s="241"/>
      <c r="G34" s="242"/>
      <c r="H34" s="242"/>
      <c r="I34" s="243"/>
      <c r="K34" s="241"/>
      <c r="L34" s="242"/>
      <c r="M34" s="243"/>
    </row>
    <row r="35" spans="6:13" ht="12.75" customHeight="1">
      <c r="F35" s="241"/>
      <c r="G35" s="242"/>
      <c r="H35" s="242"/>
      <c r="I35" s="243"/>
      <c r="K35" s="241"/>
      <c r="L35" s="242"/>
      <c r="M35" s="243"/>
    </row>
    <row r="36" spans="6:13" ht="13.5" customHeight="1" thickBot="1">
      <c r="F36" s="244"/>
      <c r="G36" s="245"/>
      <c r="H36" s="245"/>
      <c r="I36" s="246"/>
      <c r="K36" s="244"/>
      <c r="L36" s="245"/>
      <c r="M36" s="246"/>
    </row>
  </sheetData>
  <mergeCells count="7">
    <mergeCell ref="R2:Z2"/>
    <mergeCell ref="F32:I36"/>
    <mergeCell ref="K32:M36"/>
    <mergeCell ref="H2:P2"/>
    <mergeCell ref="A2:F2"/>
    <mergeCell ref="F26:I30"/>
    <mergeCell ref="K26:M30"/>
  </mergeCells>
  <phoneticPr fontId="0" type="noConversion"/>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
  <sheetViews>
    <sheetView workbookViewId="0">
      <selection sqref="A1:F1"/>
    </sheetView>
  </sheetViews>
  <sheetFormatPr baseColWidth="10" defaultRowHeight="12.75"/>
  <sheetData>
    <row r="1" spans="1:54" ht="13.5" thickBot="1">
      <c r="A1" s="455" t="s">
        <v>171</v>
      </c>
      <c r="B1" s="456"/>
      <c r="C1" s="456"/>
      <c r="D1" s="456"/>
      <c r="E1" s="456"/>
      <c r="F1" s="457"/>
      <c r="G1" s="455" t="s">
        <v>116</v>
      </c>
      <c r="H1" s="456"/>
      <c r="I1" s="456"/>
      <c r="J1" s="456"/>
      <c r="K1" s="456"/>
      <c r="L1" s="457"/>
      <c r="M1" s="455" t="s">
        <v>117</v>
      </c>
      <c r="N1" s="456"/>
      <c r="O1" s="456"/>
      <c r="P1" s="456"/>
      <c r="Q1" s="456"/>
      <c r="R1" s="457"/>
      <c r="S1" s="455" t="s">
        <v>118</v>
      </c>
      <c r="T1" s="456"/>
      <c r="U1" s="456"/>
      <c r="V1" s="456"/>
      <c r="W1" s="456"/>
      <c r="X1" s="457"/>
      <c r="Y1" s="455" t="s">
        <v>119</v>
      </c>
      <c r="Z1" s="456"/>
      <c r="AA1" s="456"/>
      <c r="AB1" s="456"/>
      <c r="AC1" s="456"/>
      <c r="AD1" s="457"/>
      <c r="AE1" s="455" t="s">
        <v>339</v>
      </c>
      <c r="AF1" s="456"/>
      <c r="AG1" s="456"/>
      <c r="AH1" s="456"/>
      <c r="AI1" s="456"/>
      <c r="AJ1" s="457"/>
      <c r="AK1" s="455" t="s">
        <v>340</v>
      </c>
      <c r="AL1" s="456"/>
      <c r="AM1" s="456"/>
      <c r="AN1" s="456"/>
      <c r="AO1" s="456"/>
      <c r="AP1" s="457"/>
      <c r="AQ1" s="455" t="s">
        <v>341</v>
      </c>
      <c r="AR1" s="456"/>
      <c r="AS1" s="456"/>
      <c r="AT1" s="456"/>
      <c r="AU1" s="456"/>
      <c r="AV1" s="457"/>
      <c r="AW1" s="455" t="s">
        <v>123</v>
      </c>
      <c r="AX1" s="456"/>
      <c r="AY1" s="456"/>
      <c r="AZ1" s="456"/>
      <c r="BA1" s="456"/>
      <c r="BB1" s="457"/>
    </row>
    <row r="2" spans="1:54" ht="78" customHeight="1" thickBot="1">
      <c r="A2" s="283" t="s">
        <v>342</v>
      </c>
      <c r="B2" s="284"/>
      <c r="C2" s="284"/>
      <c r="D2" s="284"/>
      <c r="E2" s="284"/>
      <c r="F2" s="285"/>
      <c r="G2" s="283" t="s">
        <v>343</v>
      </c>
      <c r="H2" s="284"/>
      <c r="I2" s="284"/>
      <c r="J2" s="284"/>
      <c r="K2" s="284"/>
      <c r="L2" s="285"/>
      <c r="M2" s="283" t="s">
        <v>344</v>
      </c>
      <c r="N2" s="284"/>
      <c r="O2" s="284"/>
      <c r="P2" s="284"/>
      <c r="Q2" s="284"/>
      <c r="R2" s="285"/>
      <c r="S2" s="283" t="s">
        <v>345</v>
      </c>
      <c r="T2" s="284"/>
      <c r="U2" s="284"/>
      <c r="V2" s="284"/>
      <c r="W2" s="284"/>
      <c r="X2" s="285"/>
      <c r="Y2" s="283" t="s">
        <v>200</v>
      </c>
      <c r="Z2" s="284"/>
      <c r="AA2" s="284"/>
      <c r="AB2" s="284"/>
      <c r="AC2" s="284"/>
      <c r="AD2" s="285"/>
      <c r="AE2" s="283" t="s">
        <v>72</v>
      </c>
      <c r="AF2" s="284"/>
      <c r="AG2" s="284"/>
      <c r="AH2" s="284"/>
      <c r="AI2" s="284"/>
      <c r="AJ2" s="285"/>
      <c r="AK2" s="283" t="s">
        <v>73</v>
      </c>
      <c r="AL2" s="284"/>
      <c r="AM2" s="284"/>
      <c r="AN2" s="284"/>
      <c r="AO2" s="284"/>
      <c r="AP2" s="285"/>
      <c r="AQ2" s="283" t="s">
        <v>166</v>
      </c>
      <c r="AR2" s="284"/>
      <c r="AS2" s="284"/>
      <c r="AT2" s="284"/>
      <c r="AU2" s="284"/>
      <c r="AV2" s="285"/>
      <c r="AW2" s="283" t="s">
        <v>167</v>
      </c>
      <c r="AX2" s="284"/>
      <c r="AY2" s="284"/>
      <c r="AZ2" s="284"/>
      <c r="BA2" s="284"/>
      <c r="BB2" s="285"/>
    </row>
  </sheetData>
  <mergeCells count="18">
    <mergeCell ref="AW1:BB1"/>
    <mergeCell ref="AW2:BB2"/>
    <mergeCell ref="AK1:AP1"/>
    <mergeCell ref="AK2:AP2"/>
    <mergeCell ref="AQ1:AV1"/>
    <mergeCell ref="AQ2:AV2"/>
    <mergeCell ref="AE1:AJ1"/>
    <mergeCell ref="AE2:AJ2"/>
    <mergeCell ref="M1:R1"/>
    <mergeCell ref="M2:R2"/>
    <mergeCell ref="S2:X2"/>
    <mergeCell ref="S1:X1"/>
    <mergeCell ref="A1:F1"/>
    <mergeCell ref="A2:F2"/>
    <mergeCell ref="G1:L1"/>
    <mergeCell ref="G2:L2"/>
    <mergeCell ref="Y1:AD1"/>
    <mergeCell ref="Y2:AD2"/>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
  <sheetViews>
    <sheetView workbookViewId="0">
      <selection sqref="A1:F1"/>
    </sheetView>
  </sheetViews>
  <sheetFormatPr baseColWidth="10" defaultRowHeight="12.75"/>
  <cols>
    <col min="1" max="1" width="10.85546875" style="106" bestFit="1" customWidth="1"/>
    <col min="2" max="2" width="9.140625" customWidth="1"/>
    <col min="3" max="3" width="5" style="18" customWidth="1"/>
    <col min="4" max="4" width="5.140625" customWidth="1"/>
    <col min="5" max="5" width="8.42578125" style="107" customWidth="1"/>
    <col min="6" max="6" width="5.28515625" style="18" customWidth="1"/>
    <col min="7" max="7" width="4.85546875" style="18" customWidth="1"/>
    <col min="8" max="8" width="10.5703125" style="108" bestFit="1" customWidth="1"/>
  </cols>
  <sheetData>
    <row r="1" spans="1:13" ht="23.25">
      <c r="A1" s="462" t="s">
        <v>144</v>
      </c>
      <c r="B1" s="463"/>
      <c r="C1" s="463"/>
      <c r="D1" s="463"/>
      <c r="E1" s="463"/>
      <c r="F1" s="463"/>
      <c r="G1" s="463"/>
      <c r="H1" s="464"/>
      <c r="M1" s="114">
        <f>+Ki!C8</f>
        <v>19412</v>
      </c>
    </row>
    <row r="2" spans="1:13">
      <c r="A2" s="465" t="s">
        <v>145</v>
      </c>
      <c r="B2" s="467" t="s">
        <v>146</v>
      </c>
      <c r="C2" s="467"/>
      <c r="D2" s="467"/>
      <c r="E2" s="467" t="s">
        <v>147</v>
      </c>
      <c r="F2" s="467"/>
      <c r="G2" s="467"/>
      <c r="H2" s="468" t="s">
        <v>148</v>
      </c>
    </row>
    <row r="3" spans="1:13" ht="13.5" thickBot="1">
      <c r="A3" s="466"/>
      <c r="B3" s="74" t="s">
        <v>94</v>
      </c>
      <c r="C3" s="74" t="s">
        <v>93</v>
      </c>
      <c r="D3" s="74" t="s">
        <v>95</v>
      </c>
      <c r="E3" s="74" t="s">
        <v>94</v>
      </c>
      <c r="F3" s="74" t="s">
        <v>149</v>
      </c>
      <c r="G3" s="74" t="s">
        <v>95</v>
      </c>
      <c r="H3" s="469"/>
    </row>
    <row r="4" spans="1:13">
      <c r="A4" s="75" t="s">
        <v>150</v>
      </c>
      <c r="B4" s="76" t="s">
        <v>151</v>
      </c>
      <c r="C4" s="77">
        <v>31</v>
      </c>
      <c r="D4" s="78">
        <v>1900</v>
      </c>
      <c r="E4" s="76" t="s">
        <v>151</v>
      </c>
      <c r="F4" s="77">
        <v>18</v>
      </c>
      <c r="G4" s="77">
        <v>1901</v>
      </c>
      <c r="H4" s="79" t="s">
        <v>152</v>
      </c>
      <c r="I4" s="18" t="str">
        <f>CONCATENATE(TEXT(C4,"##"),"-", MID(B4,1,3),"-",TEXT(D4,"###0"))</f>
        <v>31-Ene-1900</v>
      </c>
      <c r="J4" s="18" t="str">
        <f>CONCATENATE(TEXT(F4,"##"),"-", MID(E4,1,3),"-",TEXT(G4,"###0"))</f>
        <v>18-Ene-1901</v>
      </c>
      <c r="K4" s="114">
        <f>DATE(D4,MONTH(I4),C4)</f>
        <v>31</v>
      </c>
      <c r="L4" s="114">
        <f>DATE(G4,MONTH(J4),F4)</f>
        <v>384</v>
      </c>
      <c r="M4">
        <f>+J4-I4</f>
        <v>353</v>
      </c>
    </row>
    <row r="5" spans="1:13">
      <c r="A5" s="80" t="s">
        <v>256</v>
      </c>
      <c r="B5" s="81" t="s">
        <v>153</v>
      </c>
      <c r="C5" s="82">
        <v>19</v>
      </c>
      <c r="D5" s="83">
        <v>1901</v>
      </c>
      <c r="E5" s="81" t="s">
        <v>153</v>
      </c>
      <c r="F5" s="82">
        <v>7</v>
      </c>
      <c r="G5" s="82">
        <v>1902</v>
      </c>
      <c r="H5" s="84" t="s">
        <v>152</v>
      </c>
      <c r="I5" s="18" t="str">
        <f t="shared" ref="I5:I68" si="0">CONCATENATE(TEXT(C5,"##"),"-", MID(B5,1,3),"-",TEXT(D5,"###0"))</f>
        <v>19-Feb-1901</v>
      </c>
      <c r="J5" s="18" t="str">
        <f t="shared" ref="J5:J68" si="1">CONCATENATE(TEXT(F5,"##"),"-", MID(E5,1,3),"-",TEXT(G5,"###0"))</f>
        <v>7-Feb-1902</v>
      </c>
      <c r="K5" s="114">
        <f t="shared" ref="K5:K68" si="2">DATE(D5,MONTH(I5),C5)</f>
        <v>416</v>
      </c>
      <c r="L5" s="114">
        <f t="shared" ref="L5:L68" si="3">DATE(G5,MONTH(J5),F5)</f>
        <v>769</v>
      </c>
      <c r="M5">
        <f t="shared" ref="M5:M15" si="4">+J5-I5</f>
        <v>353</v>
      </c>
    </row>
    <row r="6" spans="1:13">
      <c r="A6" s="80" t="s">
        <v>154</v>
      </c>
      <c r="B6" s="81" t="s">
        <v>153</v>
      </c>
      <c r="C6" s="26">
        <v>8</v>
      </c>
      <c r="D6" s="83">
        <v>1902</v>
      </c>
      <c r="E6" s="81" t="s">
        <v>151</v>
      </c>
      <c r="F6" s="82">
        <v>28</v>
      </c>
      <c r="G6" s="82">
        <v>1903</v>
      </c>
      <c r="H6" s="84" t="s">
        <v>155</v>
      </c>
      <c r="I6" s="18" t="str">
        <f t="shared" si="0"/>
        <v>8-Feb-1902</v>
      </c>
      <c r="J6" s="18" t="str">
        <f t="shared" si="1"/>
        <v>28-Ene-1903</v>
      </c>
      <c r="K6" s="114">
        <f t="shared" si="2"/>
        <v>770</v>
      </c>
      <c r="L6" s="114">
        <f t="shared" si="3"/>
        <v>1124</v>
      </c>
      <c r="M6">
        <f t="shared" si="4"/>
        <v>354</v>
      </c>
    </row>
    <row r="7" spans="1:13">
      <c r="A7" s="80" t="s">
        <v>156</v>
      </c>
      <c r="B7" s="81" t="s">
        <v>151</v>
      </c>
      <c r="C7" s="82">
        <v>29</v>
      </c>
      <c r="D7" s="83">
        <v>1903</v>
      </c>
      <c r="E7" s="81" t="s">
        <v>153</v>
      </c>
      <c r="F7" s="82">
        <v>15</v>
      </c>
      <c r="G7" s="82">
        <v>1904</v>
      </c>
      <c r="H7" s="84" t="s">
        <v>155</v>
      </c>
      <c r="I7" s="18" t="str">
        <f t="shared" si="0"/>
        <v>29-Ene-1903</v>
      </c>
      <c r="J7" s="18" t="str">
        <f t="shared" si="1"/>
        <v>15-Feb-1904</v>
      </c>
      <c r="K7" s="114">
        <f t="shared" si="2"/>
        <v>1125</v>
      </c>
      <c r="L7" s="114">
        <f t="shared" si="3"/>
        <v>1507</v>
      </c>
      <c r="M7">
        <f t="shared" si="4"/>
        <v>382</v>
      </c>
    </row>
    <row r="8" spans="1:13">
      <c r="A8" s="80" t="s">
        <v>165</v>
      </c>
      <c r="B8" s="81" t="s">
        <v>153</v>
      </c>
      <c r="C8" s="82">
        <v>16</v>
      </c>
      <c r="D8" s="83">
        <v>1904</v>
      </c>
      <c r="E8" s="81" t="s">
        <v>153</v>
      </c>
      <c r="F8" s="82">
        <v>3</v>
      </c>
      <c r="G8" s="82">
        <v>1905</v>
      </c>
      <c r="H8" s="84" t="s">
        <v>157</v>
      </c>
      <c r="I8" s="18" t="str">
        <f t="shared" si="0"/>
        <v>16-Feb-1904</v>
      </c>
      <c r="J8" s="18" t="str">
        <f t="shared" si="1"/>
        <v>3-Feb-1905</v>
      </c>
      <c r="K8" s="114">
        <f t="shared" si="2"/>
        <v>1508</v>
      </c>
      <c r="L8" s="114">
        <f t="shared" si="3"/>
        <v>1861</v>
      </c>
      <c r="M8">
        <f t="shared" si="4"/>
        <v>353</v>
      </c>
    </row>
    <row r="9" spans="1:13">
      <c r="A9" s="80" t="s">
        <v>158</v>
      </c>
      <c r="B9" s="81" t="s">
        <v>153</v>
      </c>
      <c r="C9" s="82">
        <v>4</v>
      </c>
      <c r="D9" s="83">
        <v>1905</v>
      </c>
      <c r="E9" s="81" t="s">
        <v>151</v>
      </c>
      <c r="F9" s="82">
        <v>24</v>
      </c>
      <c r="G9" s="82">
        <v>1906</v>
      </c>
      <c r="H9" s="84" t="s">
        <v>157</v>
      </c>
      <c r="I9" s="18" t="str">
        <f t="shared" si="0"/>
        <v>4-Feb-1905</v>
      </c>
      <c r="J9" s="18" t="str">
        <f t="shared" si="1"/>
        <v>24-Ene-1906</v>
      </c>
      <c r="K9" s="114">
        <f t="shared" si="2"/>
        <v>1862</v>
      </c>
      <c r="L9" s="114">
        <f t="shared" si="3"/>
        <v>2216</v>
      </c>
      <c r="M9">
        <f t="shared" si="4"/>
        <v>354</v>
      </c>
    </row>
    <row r="10" spans="1:13">
      <c r="A10" s="80" t="s">
        <v>159</v>
      </c>
      <c r="B10" s="81" t="s">
        <v>151</v>
      </c>
      <c r="C10" s="82">
        <v>25</v>
      </c>
      <c r="D10" s="83">
        <v>1906</v>
      </c>
      <c r="E10" s="81" t="s">
        <v>153</v>
      </c>
      <c r="F10" s="82">
        <v>12</v>
      </c>
      <c r="G10" s="82">
        <v>1907</v>
      </c>
      <c r="H10" s="84" t="s">
        <v>160</v>
      </c>
      <c r="I10" s="18" t="str">
        <f t="shared" si="0"/>
        <v>25-Ene-1906</v>
      </c>
      <c r="J10" s="18" t="str">
        <f t="shared" si="1"/>
        <v>12-Feb-1907</v>
      </c>
      <c r="K10" s="114">
        <f t="shared" si="2"/>
        <v>2217</v>
      </c>
      <c r="L10" s="114">
        <f t="shared" si="3"/>
        <v>2600</v>
      </c>
      <c r="M10">
        <f t="shared" si="4"/>
        <v>383</v>
      </c>
    </row>
    <row r="11" spans="1:13">
      <c r="A11" s="80" t="s">
        <v>257</v>
      </c>
      <c r="B11" s="81" t="s">
        <v>151</v>
      </c>
      <c r="C11" s="82">
        <v>13</v>
      </c>
      <c r="D11" s="83">
        <v>1907</v>
      </c>
      <c r="E11" s="81" t="s">
        <v>153</v>
      </c>
      <c r="F11" s="82">
        <v>1</v>
      </c>
      <c r="G11" s="82">
        <v>1908</v>
      </c>
      <c r="H11" s="84" t="s">
        <v>160</v>
      </c>
      <c r="I11" s="18" t="str">
        <f t="shared" si="0"/>
        <v>13-Ene-1907</v>
      </c>
      <c r="J11" s="18" t="str">
        <f t="shared" si="1"/>
        <v>1-Feb-1908</v>
      </c>
      <c r="K11" s="114">
        <f t="shared" si="2"/>
        <v>2570</v>
      </c>
      <c r="L11" s="114">
        <f t="shared" si="3"/>
        <v>2954</v>
      </c>
      <c r="M11">
        <f t="shared" si="4"/>
        <v>384</v>
      </c>
    </row>
    <row r="12" spans="1:13">
      <c r="A12" s="80" t="s">
        <v>161</v>
      </c>
      <c r="B12" s="81" t="s">
        <v>153</v>
      </c>
      <c r="C12" s="82">
        <v>2</v>
      </c>
      <c r="D12" s="83">
        <v>1908</v>
      </c>
      <c r="E12" s="81" t="s">
        <v>151</v>
      </c>
      <c r="F12" s="82">
        <v>21</v>
      </c>
      <c r="G12" s="82">
        <v>1909</v>
      </c>
      <c r="H12" s="84" t="s">
        <v>162</v>
      </c>
      <c r="I12" s="18" t="str">
        <f t="shared" si="0"/>
        <v>2-Feb-1908</v>
      </c>
      <c r="J12" s="18" t="str">
        <f t="shared" si="1"/>
        <v>21-Ene-1909</v>
      </c>
      <c r="K12" s="114">
        <f t="shared" si="2"/>
        <v>2955</v>
      </c>
      <c r="L12" s="114">
        <f t="shared" si="3"/>
        <v>3309</v>
      </c>
      <c r="M12">
        <f t="shared" si="4"/>
        <v>354</v>
      </c>
    </row>
    <row r="13" spans="1:13">
      <c r="A13" s="80" t="s">
        <v>163</v>
      </c>
      <c r="B13" s="81" t="s">
        <v>151</v>
      </c>
      <c r="C13" s="82">
        <v>22</v>
      </c>
      <c r="D13" s="83">
        <v>1909</v>
      </c>
      <c r="E13" s="81" t="s">
        <v>153</v>
      </c>
      <c r="F13" s="82">
        <v>9</v>
      </c>
      <c r="G13" s="82">
        <v>1910</v>
      </c>
      <c r="H13" s="84" t="s">
        <v>162</v>
      </c>
      <c r="I13" s="18" t="str">
        <f t="shared" si="0"/>
        <v>22-Ene-1909</v>
      </c>
      <c r="J13" s="18" t="str">
        <f t="shared" si="1"/>
        <v>9-Feb-1910</v>
      </c>
      <c r="K13" s="114">
        <f t="shared" si="2"/>
        <v>3310</v>
      </c>
      <c r="L13" s="114">
        <f t="shared" si="3"/>
        <v>3693</v>
      </c>
      <c r="M13">
        <f t="shared" si="4"/>
        <v>383</v>
      </c>
    </row>
    <row r="14" spans="1:13">
      <c r="A14" s="80" t="s">
        <v>164</v>
      </c>
      <c r="B14" s="81" t="s">
        <v>153</v>
      </c>
      <c r="C14" s="82">
        <v>10</v>
      </c>
      <c r="D14" s="83">
        <v>1910</v>
      </c>
      <c r="E14" s="81" t="s">
        <v>151</v>
      </c>
      <c r="F14" s="82">
        <v>29</v>
      </c>
      <c r="G14" s="82">
        <v>1911</v>
      </c>
      <c r="H14" s="84" t="s">
        <v>152</v>
      </c>
      <c r="I14" s="18" t="str">
        <f t="shared" si="0"/>
        <v>10-Feb-1910</v>
      </c>
      <c r="J14" s="18" t="str">
        <f t="shared" si="1"/>
        <v>29-Ene-1911</v>
      </c>
      <c r="K14" s="114">
        <f t="shared" si="2"/>
        <v>3694</v>
      </c>
      <c r="L14" s="114">
        <f t="shared" si="3"/>
        <v>4047</v>
      </c>
      <c r="M14">
        <f t="shared" si="4"/>
        <v>353</v>
      </c>
    </row>
    <row r="15" spans="1:13" ht="13.5" thickBot="1">
      <c r="A15" s="85" t="s">
        <v>296</v>
      </c>
      <c r="B15" s="86" t="s">
        <v>151</v>
      </c>
      <c r="C15" s="87">
        <v>30</v>
      </c>
      <c r="D15" s="88">
        <v>1911</v>
      </c>
      <c r="E15" s="86" t="s">
        <v>153</v>
      </c>
      <c r="F15" s="87">
        <v>17</v>
      </c>
      <c r="G15" s="87">
        <v>1912</v>
      </c>
      <c r="H15" s="89" t="s">
        <v>152</v>
      </c>
      <c r="I15" s="18" t="str">
        <f t="shared" si="0"/>
        <v>30-Ene-1911</v>
      </c>
      <c r="J15" s="18" t="str">
        <f t="shared" si="1"/>
        <v>17-Feb-1912</v>
      </c>
      <c r="K15" s="114">
        <f t="shared" si="2"/>
        <v>4048</v>
      </c>
      <c r="L15" s="114">
        <f t="shared" si="3"/>
        <v>4431</v>
      </c>
      <c r="M15">
        <f t="shared" si="4"/>
        <v>383</v>
      </c>
    </row>
    <row r="16" spans="1:13">
      <c r="A16" s="75" t="s">
        <v>150</v>
      </c>
      <c r="B16" s="76" t="s">
        <v>153</v>
      </c>
      <c r="C16" s="77">
        <v>18</v>
      </c>
      <c r="D16" s="78">
        <v>1912</v>
      </c>
      <c r="E16" s="76" t="s">
        <v>153</v>
      </c>
      <c r="F16" s="77">
        <v>5</v>
      </c>
      <c r="G16" s="77">
        <v>1913</v>
      </c>
      <c r="H16" s="79" t="s">
        <v>155</v>
      </c>
      <c r="I16" s="18" t="str">
        <f t="shared" si="0"/>
        <v>18-Feb-1912</v>
      </c>
      <c r="J16" s="18" t="str">
        <f t="shared" si="1"/>
        <v>5-Feb-1913</v>
      </c>
      <c r="K16" s="114">
        <f t="shared" si="2"/>
        <v>4432</v>
      </c>
      <c r="L16" s="114">
        <f t="shared" si="3"/>
        <v>4785</v>
      </c>
      <c r="M16">
        <f>+J16-I16</f>
        <v>353</v>
      </c>
    </row>
    <row r="17" spans="1:13">
      <c r="A17" s="80" t="s">
        <v>256</v>
      </c>
      <c r="B17" s="81" t="s">
        <v>153</v>
      </c>
      <c r="C17" s="82">
        <v>6</v>
      </c>
      <c r="D17" s="83">
        <v>1913</v>
      </c>
      <c r="E17" s="81" t="s">
        <v>151</v>
      </c>
      <c r="F17" s="82">
        <v>25</v>
      </c>
      <c r="G17" s="82">
        <v>1914</v>
      </c>
      <c r="H17" s="84" t="s">
        <v>155</v>
      </c>
      <c r="I17" s="18" t="str">
        <f t="shared" si="0"/>
        <v>6-Feb-1913</v>
      </c>
      <c r="J17" s="18" t="str">
        <f t="shared" si="1"/>
        <v>25-Ene-1914</v>
      </c>
      <c r="K17" s="114">
        <f t="shared" si="2"/>
        <v>4786</v>
      </c>
      <c r="L17" s="114">
        <f t="shared" si="3"/>
        <v>5139</v>
      </c>
      <c r="M17">
        <f t="shared" ref="M17:M27" si="5">+J17-I17</f>
        <v>353</v>
      </c>
    </row>
    <row r="18" spans="1:13">
      <c r="A18" s="80" t="s">
        <v>154</v>
      </c>
      <c r="B18" s="81" t="s">
        <v>151</v>
      </c>
      <c r="C18" s="82">
        <v>26</v>
      </c>
      <c r="D18" s="83">
        <v>1914</v>
      </c>
      <c r="E18" s="81" t="s">
        <v>153</v>
      </c>
      <c r="F18" s="82">
        <v>13</v>
      </c>
      <c r="G18" s="82">
        <v>1915</v>
      </c>
      <c r="H18" s="84" t="s">
        <v>157</v>
      </c>
      <c r="I18" s="18" t="str">
        <f t="shared" si="0"/>
        <v>26-Ene-1914</v>
      </c>
      <c r="J18" s="18" t="str">
        <f t="shared" si="1"/>
        <v>13-Feb-1915</v>
      </c>
      <c r="K18" s="114">
        <f t="shared" si="2"/>
        <v>5140</v>
      </c>
      <c r="L18" s="114">
        <f t="shared" si="3"/>
        <v>5523</v>
      </c>
      <c r="M18">
        <f t="shared" si="5"/>
        <v>383</v>
      </c>
    </row>
    <row r="19" spans="1:13">
      <c r="A19" s="80" t="s">
        <v>156</v>
      </c>
      <c r="B19" s="81" t="s">
        <v>153</v>
      </c>
      <c r="C19" s="82">
        <v>14</v>
      </c>
      <c r="D19" s="83">
        <v>1915</v>
      </c>
      <c r="E19" s="81" t="s">
        <v>153</v>
      </c>
      <c r="F19" s="82">
        <v>2</v>
      </c>
      <c r="G19" s="82">
        <v>1916</v>
      </c>
      <c r="H19" s="84" t="s">
        <v>157</v>
      </c>
      <c r="I19" s="18" t="str">
        <f t="shared" si="0"/>
        <v>14-Feb-1915</v>
      </c>
      <c r="J19" s="18" t="str">
        <f t="shared" si="1"/>
        <v>2-Feb-1916</v>
      </c>
      <c r="K19" s="114">
        <f t="shared" si="2"/>
        <v>5524</v>
      </c>
      <c r="L19" s="114">
        <f t="shared" si="3"/>
        <v>5877</v>
      </c>
      <c r="M19">
        <f t="shared" si="5"/>
        <v>353</v>
      </c>
    </row>
    <row r="20" spans="1:13">
      <c r="A20" s="80" t="s">
        <v>165</v>
      </c>
      <c r="B20" s="81" t="s">
        <v>153</v>
      </c>
      <c r="C20" s="82">
        <v>3</v>
      </c>
      <c r="D20" s="83">
        <v>1916</v>
      </c>
      <c r="E20" s="81" t="s">
        <v>151</v>
      </c>
      <c r="F20" s="82">
        <v>22</v>
      </c>
      <c r="G20" s="82">
        <v>1917</v>
      </c>
      <c r="H20" s="84" t="s">
        <v>160</v>
      </c>
      <c r="I20" s="18" t="str">
        <f t="shared" si="0"/>
        <v>3-Feb-1916</v>
      </c>
      <c r="J20" s="18" t="str">
        <f t="shared" si="1"/>
        <v>22-Ene-1917</v>
      </c>
      <c r="K20" s="114">
        <f t="shared" si="2"/>
        <v>5878</v>
      </c>
      <c r="L20" s="114">
        <f t="shared" si="3"/>
        <v>6232</v>
      </c>
      <c r="M20">
        <f t="shared" si="5"/>
        <v>354</v>
      </c>
    </row>
    <row r="21" spans="1:13">
      <c r="A21" s="80" t="s">
        <v>158</v>
      </c>
      <c r="B21" s="81" t="s">
        <v>151</v>
      </c>
      <c r="C21" s="82">
        <v>23</v>
      </c>
      <c r="D21" s="83">
        <v>1917</v>
      </c>
      <c r="E21" s="81" t="s">
        <v>153</v>
      </c>
      <c r="F21" s="82">
        <v>10</v>
      </c>
      <c r="G21" s="82">
        <v>1918</v>
      </c>
      <c r="H21" s="84" t="s">
        <v>160</v>
      </c>
      <c r="I21" s="18" t="str">
        <f t="shared" si="0"/>
        <v>23-Ene-1917</v>
      </c>
      <c r="J21" s="18" t="str">
        <f t="shared" si="1"/>
        <v>10-Feb-1918</v>
      </c>
      <c r="K21" s="114">
        <f t="shared" si="2"/>
        <v>6233</v>
      </c>
      <c r="L21" s="114">
        <f t="shared" si="3"/>
        <v>6616</v>
      </c>
      <c r="M21">
        <f t="shared" si="5"/>
        <v>383</v>
      </c>
    </row>
    <row r="22" spans="1:13">
      <c r="A22" s="80" t="s">
        <v>159</v>
      </c>
      <c r="B22" s="81" t="s">
        <v>153</v>
      </c>
      <c r="C22" s="82">
        <v>11</v>
      </c>
      <c r="D22" s="83">
        <v>1918</v>
      </c>
      <c r="E22" s="81" t="s">
        <v>151</v>
      </c>
      <c r="F22" s="82">
        <v>31</v>
      </c>
      <c r="G22" s="82">
        <v>1919</v>
      </c>
      <c r="H22" s="84" t="s">
        <v>162</v>
      </c>
      <c r="I22" s="18" t="str">
        <f t="shared" si="0"/>
        <v>11-Feb-1918</v>
      </c>
      <c r="J22" s="18" t="str">
        <f t="shared" si="1"/>
        <v>31-Ene-1919</v>
      </c>
      <c r="K22" s="114">
        <f t="shared" si="2"/>
        <v>6617</v>
      </c>
      <c r="L22" s="114">
        <f t="shared" si="3"/>
        <v>6971</v>
      </c>
      <c r="M22">
        <f t="shared" si="5"/>
        <v>354</v>
      </c>
    </row>
    <row r="23" spans="1:13">
      <c r="A23" s="80" t="s">
        <v>257</v>
      </c>
      <c r="B23" s="81" t="s">
        <v>153</v>
      </c>
      <c r="C23" s="82">
        <v>1</v>
      </c>
      <c r="D23" s="83">
        <v>1919</v>
      </c>
      <c r="E23" s="81" t="s">
        <v>153</v>
      </c>
      <c r="F23" s="82">
        <v>19</v>
      </c>
      <c r="G23" s="82">
        <v>1920</v>
      </c>
      <c r="H23" s="84" t="s">
        <v>162</v>
      </c>
      <c r="I23" s="18" t="str">
        <f t="shared" si="0"/>
        <v>1-Feb-1919</v>
      </c>
      <c r="J23" s="18" t="str">
        <f t="shared" si="1"/>
        <v>19-Feb-1920</v>
      </c>
      <c r="K23" s="114">
        <f t="shared" si="2"/>
        <v>6972</v>
      </c>
      <c r="L23" s="114">
        <f t="shared" si="3"/>
        <v>7355</v>
      </c>
      <c r="M23">
        <f t="shared" si="5"/>
        <v>383</v>
      </c>
    </row>
    <row r="24" spans="1:13">
      <c r="A24" s="80" t="s">
        <v>161</v>
      </c>
      <c r="B24" s="81" t="s">
        <v>153</v>
      </c>
      <c r="C24" s="82">
        <v>20</v>
      </c>
      <c r="D24" s="83">
        <v>1920</v>
      </c>
      <c r="E24" s="81" t="s">
        <v>153</v>
      </c>
      <c r="F24" s="82">
        <v>7</v>
      </c>
      <c r="G24" s="82">
        <v>1921</v>
      </c>
      <c r="H24" s="84" t="s">
        <v>152</v>
      </c>
      <c r="I24" s="18" t="str">
        <f t="shared" si="0"/>
        <v>20-Feb-1920</v>
      </c>
      <c r="J24" s="18" t="str">
        <f t="shared" si="1"/>
        <v>7-Feb-1921</v>
      </c>
      <c r="K24" s="114">
        <f t="shared" si="2"/>
        <v>7356</v>
      </c>
      <c r="L24" s="114">
        <f t="shared" si="3"/>
        <v>7709</v>
      </c>
      <c r="M24">
        <f t="shared" si="5"/>
        <v>353</v>
      </c>
    </row>
    <row r="25" spans="1:13">
      <c r="A25" s="80" t="s">
        <v>163</v>
      </c>
      <c r="B25" s="81" t="s">
        <v>153</v>
      </c>
      <c r="C25" s="82">
        <v>8</v>
      </c>
      <c r="D25" s="83">
        <v>1921</v>
      </c>
      <c r="E25" s="81" t="s">
        <v>151</v>
      </c>
      <c r="F25" s="82">
        <v>27</v>
      </c>
      <c r="G25" s="82">
        <v>1922</v>
      </c>
      <c r="H25" s="84" t="s">
        <v>152</v>
      </c>
      <c r="I25" s="18" t="str">
        <f t="shared" si="0"/>
        <v>8-Feb-1921</v>
      </c>
      <c r="J25" s="18" t="str">
        <f t="shared" si="1"/>
        <v>27-Ene-1922</v>
      </c>
      <c r="K25" s="114">
        <f t="shared" si="2"/>
        <v>7710</v>
      </c>
      <c r="L25" s="114">
        <f t="shared" si="3"/>
        <v>8063</v>
      </c>
      <c r="M25">
        <f t="shared" si="5"/>
        <v>353</v>
      </c>
    </row>
    <row r="26" spans="1:13">
      <c r="A26" s="80" t="s">
        <v>164</v>
      </c>
      <c r="B26" s="81" t="s">
        <v>151</v>
      </c>
      <c r="C26" s="82">
        <v>28</v>
      </c>
      <c r="D26" s="83">
        <v>1922</v>
      </c>
      <c r="E26" s="81" t="s">
        <v>153</v>
      </c>
      <c r="F26" s="82">
        <v>15</v>
      </c>
      <c r="G26" s="82">
        <v>1923</v>
      </c>
      <c r="H26" s="84" t="s">
        <v>155</v>
      </c>
      <c r="I26" s="18" t="str">
        <f t="shared" si="0"/>
        <v>28-Ene-1922</v>
      </c>
      <c r="J26" s="18" t="str">
        <f t="shared" si="1"/>
        <v>15-Feb-1923</v>
      </c>
      <c r="K26" s="114">
        <f t="shared" si="2"/>
        <v>8064</v>
      </c>
      <c r="L26" s="114">
        <f t="shared" si="3"/>
        <v>8447</v>
      </c>
      <c r="M26">
        <f t="shared" si="5"/>
        <v>383</v>
      </c>
    </row>
    <row r="27" spans="1:13" ht="13.5" thickBot="1">
      <c r="A27" s="85" t="s">
        <v>296</v>
      </c>
      <c r="B27" s="86" t="s">
        <v>153</v>
      </c>
      <c r="C27" s="87">
        <v>16</v>
      </c>
      <c r="D27" s="88">
        <v>1923</v>
      </c>
      <c r="E27" s="86" t="s">
        <v>153</v>
      </c>
      <c r="F27" s="87">
        <v>14</v>
      </c>
      <c r="G27" s="87">
        <v>1924</v>
      </c>
      <c r="H27" s="89" t="s">
        <v>155</v>
      </c>
      <c r="I27" s="18" t="str">
        <f t="shared" si="0"/>
        <v>16-Feb-1923</v>
      </c>
      <c r="J27" s="18" t="str">
        <f t="shared" si="1"/>
        <v>14-Feb-1924</v>
      </c>
      <c r="K27" s="114">
        <f t="shared" si="2"/>
        <v>8448</v>
      </c>
      <c r="L27" s="114">
        <f t="shared" si="3"/>
        <v>8811</v>
      </c>
      <c r="M27">
        <f t="shared" si="5"/>
        <v>363</v>
      </c>
    </row>
    <row r="28" spans="1:13">
      <c r="A28" s="75" t="s">
        <v>150</v>
      </c>
      <c r="B28" s="76" t="s">
        <v>153</v>
      </c>
      <c r="C28" s="90">
        <v>15</v>
      </c>
      <c r="D28" s="78">
        <v>1924</v>
      </c>
      <c r="E28" s="91" t="s">
        <v>151</v>
      </c>
      <c r="F28" s="90">
        <v>24</v>
      </c>
      <c r="G28" s="77">
        <v>1925</v>
      </c>
      <c r="H28" s="92" t="s">
        <v>157</v>
      </c>
      <c r="I28" s="18" t="str">
        <f t="shared" si="0"/>
        <v>15-Feb-1924</v>
      </c>
      <c r="J28" s="18" t="str">
        <f t="shared" si="1"/>
        <v>24-Ene-1925</v>
      </c>
      <c r="K28" s="114">
        <f t="shared" si="2"/>
        <v>8812</v>
      </c>
      <c r="L28" s="114">
        <f t="shared" si="3"/>
        <v>9156</v>
      </c>
      <c r="M28">
        <f>+J28-I28</f>
        <v>344</v>
      </c>
    </row>
    <row r="29" spans="1:13">
      <c r="A29" s="80" t="s">
        <v>256</v>
      </c>
      <c r="B29" s="93" t="s">
        <v>151</v>
      </c>
      <c r="C29" s="26">
        <v>25</v>
      </c>
      <c r="D29" s="93">
        <v>1925</v>
      </c>
      <c r="E29" s="94" t="s">
        <v>153</v>
      </c>
      <c r="F29" s="26">
        <v>12</v>
      </c>
      <c r="G29" s="26">
        <v>1926</v>
      </c>
      <c r="H29" s="27" t="s">
        <v>157</v>
      </c>
      <c r="I29" s="18" t="str">
        <f t="shared" si="0"/>
        <v>25-Ene-1925</v>
      </c>
      <c r="J29" s="18" t="str">
        <f t="shared" si="1"/>
        <v>12-Feb-1926</v>
      </c>
      <c r="K29" s="114">
        <f t="shared" si="2"/>
        <v>9157</v>
      </c>
      <c r="L29" s="114">
        <f t="shared" si="3"/>
        <v>9540</v>
      </c>
      <c r="M29">
        <f t="shared" ref="M29:M40" si="6">+J29-I29</f>
        <v>383</v>
      </c>
    </row>
    <row r="30" spans="1:13">
      <c r="A30" s="80" t="s">
        <v>154</v>
      </c>
      <c r="B30" s="93" t="s">
        <v>153</v>
      </c>
      <c r="C30" s="26">
        <v>13</v>
      </c>
      <c r="D30" s="83">
        <v>1926</v>
      </c>
      <c r="E30" s="93" t="s">
        <v>153</v>
      </c>
      <c r="F30" s="26">
        <v>1</v>
      </c>
      <c r="G30" s="94">
        <v>1927</v>
      </c>
      <c r="H30" s="27" t="s">
        <v>160</v>
      </c>
      <c r="I30" s="18" t="str">
        <f t="shared" si="0"/>
        <v>13-Feb-1926</v>
      </c>
      <c r="J30" s="18" t="str">
        <f t="shared" si="1"/>
        <v>1-Feb-1927</v>
      </c>
      <c r="K30" s="114">
        <f t="shared" si="2"/>
        <v>9541</v>
      </c>
      <c r="L30" s="114">
        <f t="shared" si="3"/>
        <v>9894</v>
      </c>
      <c r="M30">
        <f t="shared" si="6"/>
        <v>353</v>
      </c>
    </row>
    <row r="31" spans="1:13">
      <c r="A31" s="80" t="s">
        <v>156</v>
      </c>
      <c r="B31" s="93" t="s">
        <v>153</v>
      </c>
      <c r="C31" s="26">
        <v>2</v>
      </c>
      <c r="D31" s="93">
        <v>1927</v>
      </c>
      <c r="E31" s="94" t="s">
        <v>151</v>
      </c>
      <c r="F31" s="26">
        <v>22</v>
      </c>
      <c r="G31" s="26">
        <v>1928</v>
      </c>
      <c r="H31" s="95" t="s">
        <v>160</v>
      </c>
      <c r="I31" s="18" t="str">
        <f t="shared" si="0"/>
        <v>2-Feb-1927</v>
      </c>
      <c r="J31" s="18" t="str">
        <f t="shared" si="1"/>
        <v>22-Ene-1928</v>
      </c>
      <c r="K31" s="114">
        <f t="shared" si="2"/>
        <v>9895</v>
      </c>
      <c r="L31" s="114">
        <f t="shared" si="3"/>
        <v>10249</v>
      </c>
      <c r="M31">
        <f t="shared" si="6"/>
        <v>354</v>
      </c>
    </row>
    <row r="32" spans="1:13">
      <c r="A32" s="80" t="s">
        <v>165</v>
      </c>
      <c r="B32" s="93" t="s">
        <v>151</v>
      </c>
      <c r="C32" s="26">
        <v>23</v>
      </c>
      <c r="D32" s="93">
        <v>1928</v>
      </c>
      <c r="E32" s="94" t="s">
        <v>153</v>
      </c>
      <c r="F32" s="26">
        <v>9</v>
      </c>
      <c r="G32" s="26">
        <v>1929</v>
      </c>
      <c r="H32" s="95" t="s">
        <v>162</v>
      </c>
      <c r="I32" s="18" t="str">
        <f t="shared" si="0"/>
        <v>23-Ene-1928</v>
      </c>
      <c r="J32" s="18" t="str">
        <f t="shared" si="1"/>
        <v>9-Feb-1929</v>
      </c>
      <c r="K32" s="114">
        <f t="shared" si="2"/>
        <v>10250</v>
      </c>
      <c r="L32" s="114">
        <f t="shared" si="3"/>
        <v>10633</v>
      </c>
      <c r="M32">
        <f t="shared" si="6"/>
        <v>383</v>
      </c>
    </row>
    <row r="33" spans="1:13">
      <c r="A33" s="80" t="s">
        <v>158</v>
      </c>
      <c r="B33" s="93" t="s">
        <v>153</v>
      </c>
      <c r="C33" s="26">
        <v>10</v>
      </c>
      <c r="D33" s="93">
        <v>1929</v>
      </c>
      <c r="E33" s="94" t="s">
        <v>151</v>
      </c>
      <c r="F33" s="26">
        <v>29</v>
      </c>
      <c r="G33" s="26">
        <v>1930</v>
      </c>
      <c r="H33" s="95" t="s">
        <v>162</v>
      </c>
      <c r="I33" s="18" t="str">
        <f t="shared" si="0"/>
        <v>10-Feb-1929</v>
      </c>
      <c r="J33" s="18" t="str">
        <f t="shared" si="1"/>
        <v>29-Ene-1930</v>
      </c>
      <c r="K33" s="114">
        <f t="shared" si="2"/>
        <v>10634</v>
      </c>
      <c r="L33" s="114">
        <f t="shared" si="3"/>
        <v>10987</v>
      </c>
      <c r="M33">
        <f t="shared" si="6"/>
        <v>353</v>
      </c>
    </row>
    <row r="34" spans="1:13">
      <c r="A34" s="80" t="s">
        <v>159</v>
      </c>
      <c r="B34" s="93" t="s">
        <v>151</v>
      </c>
      <c r="C34" s="26">
        <v>30</v>
      </c>
      <c r="D34" s="93">
        <v>1930</v>
      </c>
      <c r="E34" s="94" t="s">
        <v>153</v>
      </c>
      <c r="F34" s="26">
        <v>16</v>
      </c>
      <c r="G34" s="26">
        <v>1931</v>
      </c>
      <c r="H34" s="95" t="s">
        <v>152</v>
      </c>
      <c r="I34" s="18" t="str">
        <f t="shared" si="0"/>
        <v>30-Ene-1930</v>
      </c>
      <c r="J34" s="18" t="str">
        <f t="shared" si="1"/>
        <v>16-Feb-1931</v>
      </c>
      <c r="K34" s="114">
        <f t="shared" si="2"/>
        <v>10988</v>
      </c>
      <c r="L34" s="114">
        <f t="shared" si="3"/>
        <v>11370</v>
      </c>
      <c r="M34">
        <f t="shared" si="6"/>
        <v>382</v>
      </c>
    </row>
    <row r="35" spans="1:13">
      <c r="A35" s="80" t="s">
        <v>257</v>
      </c>
      <c r="B35" s="93" t="s">
        <v>153</v>
      </c>
      <c r="C35" s="26">
        <v>17</v>
      </c>
      <c r="D35" s="93">
        <v>1931</v>
      </c>
      <c r="E35" s="94" t="s">
        <v>153</v>
      </c>
      <c r="F35" s="26">
        <v>5</v>
      </c>
      <c r="G35" s="26">
        <v>1932</v>
      </c>
      <c r="H35" s="95" t="s">
        <v>152</v>
      </c>
      <c r="I35" s="18" t="str">
        <f t="shared" si="0"/>
        <v>17-Feb-1931</v>
      </c>
      <c r="J35" s="18" t="str">
        <f t="shared" si="1"/>
        <v>5-Feb-1932</v>
      </c>
      <c r="K35" s="114">
        <f t="shared" si="2"/>
        <v>11371</v>
      </c>
      <c r="L35" s="114">
        <f t="shared" si="3"/>
        <v>11724</v>
      </c>
      <c r="M35">
        <f t="shared" si="6"/>
        <v>353</v>
      </c>
    </row>
    <row r="36" spans="1:13">
      <c r="A36" s="80" t="s">
        <v>161</v>
      </c>
      <c r="B36" s="93" t="s">
        <v>153</v>
      </c>
      <c r="C36" s="26">
        <v>6</v>
      </c>
      <c r="D36" s="93">
        <v>1932</v>
      </c>
      <c r="E36" s="94" t="s">
        <v>151</v>
      </c>
      <c r="F36" s="26">
        <v>25</v>
      </c>
      <c r="G36" s="26">
        <v>1933</v>
      </c>
      <c r="H36" s="95" t="s">
        <v>155</v>
      </c>
      <c r="I36" s="18" t="str">
        <f t="shared" si="0"/>
        <v>6-Feb-1932</v>
      </c>
      <c r="J36" s="18" t="str">
        <f t="shared" si="1"/>
        <v>25-Ene-1933</v>
      </c>
      <c r="K36" s="114">
        <f t="shared" si="2"/>
        <v>11725</v>
      </c>
      <c r="L36" s="114">
        <f t="shared" si="3"/>
        <v>12079</v>
      </c>
      <c r="M36">
        <f t="shared" si="6"/>
        <v>354</v>
      </c>
    </row>
    <row r="37" spans="1:13">
      <c r="A37" s="80" t="s">
        <v>163</v>
      </c>
      <c r="B37" s="93" t="s">
        <v>151</v>
      </c>
      <c r="C37" s="26">
        <v>26</v>
      </c>
      <c r="D37" s="93">
        <v>1933</v>
      </c>
      <c r="E37" s="94" t="s">
        <v>153</v>
      </c>
      <c r="F37" s="26">
        <v>13</v>
      </c>
      <c r="G37" s="26">
        <v>1934</v>
      </c>
      <c r="H37" s="95" t="s">
        <v>155</v>
      </c>
      <c r="I37" s="18" t="str">
        <f t="shared" si="0"/>
        <v>26-Ene-1933</v>
      </c>
      <c r="J37" s="18" t="str">
        <f t="shared" si="1"/>
        <v>13-Feb-1934</v>
      </c>
      <c r="K37" s="114">
        <f t="shared" si="2"/>
        <v>12080</v>
      </c>
      <c r="L37" s="114">
        <f t="shared" si="3"/>
        <v>12463</v>
      </c>
      <c r="M37">
        <f t="shared" si="6"/>
        <v>383</v>
      </c>
    </row>
    <row r="38" spans="1:13">
      <c r="A38" s="80" t="s">
        <v>164</v>
      </c>
      <c r="B38" s="93" t="s">
        <v>153</v>
      </c>
      <c r="C38" s="26">
        <v>14</v>
      </c>
      <c r="D38" s="93">
        <v>1934</v>
      </c>
      <c r="E38" s="94" t="s">
        <v>153</v>
      </c>
      <c r="F38" s="26">
        <v>3</v>
      </c>
      <c r="G38" s="26">
        <v>1935</v>
      </c>
      <c r="H38" s="95" t="s">
        <v>157</v>
      </c>
      <c r="I38" s="18" t="str">
        <f t="shared" si="0"/>
        <v>14-Feb-1934</v>
      </c>
      <c r="J38" s="18" t="str">
        <f t="shared" si="1"/>
        <v>3-Feb-1935</v>
      </c>
      <c r="K38" s="114">
        <f t="shared" si="2"/>
        <v>12464</v>
      </c>
      <c r="L38" s="114">
        <f t="shared" si="3"/>
        <v>12818</v>
      </c>
      <c r="M38">
        <f t="shared" si="6"/>
        <v>354</v>
      </c>
    </row>
    <row r="39" spans="1:13" ht="13.5" thickBot="1">
      <c r="A39" s="85" t="s">
        <v>296</v>
      </c>
      <c r="B39" s="96" t="s">
        <v>153</v>
      </c>
      <c r="C39" s="29">
        <v>4</v>
      </c>
      <c r="D39" s="96">
        <v>1935</v>
      </c>
      <c r="E39" s="97" t="s">
        <v>151</v>
      </c>
      <c r="F39" s="29">
        <v>23</v>
      </c>
      <c r="G39" s="29">
        <v>1936</v>
      </c>
      <c r="H39" s="98" t="s">
        <v>157</v>
      </c>
      <c r="I39" s="18" t="str">
        <f t="shared" si="0"/>
        <v>4-Feb-1935</v>
      </c>
      <c r="J39" s="18" t="str">
        <f t="shared" si="1"/>
        <v>23-Ene-1936</v>
      </c>
      <c r="K39" s="114">
        <f t="shared" si="2"/>
        <v>12819</v>
      </c>
      <c r="L39" s="114">
        <f t="shared" si="3"/>
        <v>13172</v>
      </c>
      <c r="M39">
        <f t="shared" si="6"/>
        <v>353</v>
      </c>
    </row>
    <row r="40" spans="1:13">
      <c r="A40" s="75" t="s">
        <v>150</v>
      </c>
      <c r="B40" s="99" t="s">
        <v>151</v>
      </c>
      <c r="C40" s="90">
        <v>24</v>
      </c>
      <c r="D40" s="99">
        <v>1936</v>
      </c>
      <c r="E40" s="91" t="s">
        <v>153</v>
      </c>
      <c r="F40" s="90">
        <v>10</v>
      </c>
      <c r="G40" s="90">
        <v>1937</v>
      </c>
      <c r="H40" s="100" t="s">
        <v>160</v>
      </c>
      <c r="I40" s="18" t="str">
        <f t="shared" si="0"/>
        <v>24-Ene-1936</v>
      </c>
      <c r="J40" s="18" t="str">
        <f t="shared" si="1"/>
        <v>10-Feb-1937</v>
      </c>
      <c r="K40" s="114">
        <f t="shared" si="2"/>
        <v>13173</v>
      </c>
      <c r="L40" s="114">
        <f t="shared" si="3"/>
        <v>13556</v>
      </c>
      <c r="M40">
        <f t="shared" si="6"/>
        <v>383</v>
      </c>
    </row>
    <row r="41" spans="1:13">
      <c r="A41" s="80" t="s">
        <v>256</v>
      </c>
      <c r="B41" s="93" t="s">
        <v>153</v>
      </c>
      <c r="C41" s="26">
        <v>11</v>
      </c>
      <c r="D41" s="93">
        <v>1937</v>
      </c>
      <c r="E41" s="94" t="s">
        <v>151</v>
      </c>
      <c r="F41" s="26">
        <v>30</v>
      </c>
      <c r="G41" s="26">
        <v>1938</v>
      </c>
      <c r="H41" s="95" t="s">
        <v>160</v>
      </c>
      <c r="I41" s="18" t="str">
        <f t="shared" si="0"/>
        <v>11-Feb-1937</v>
      </c>
      <c r="J41" s="18" t="str">
        <f t="shared" si="1"/>
        <v>30-Ene-1938</v>
      </c>
      <c r="K41" s="114">
        <f t="shared" si="2"/>
        <v>13557</v>
      </c>
      <c r="L41" s="114">
        <f t="shared" si="3"/>
        <v>13910</v>
      </c>
      <c r="M41">
        <f t="shared" ref="M41:M104" si="7">+J41-I41</f>
        <v>353</v>
      </c>
    </row>
    <row r="42" spans="1:13">
      <c r="A42" s="80" t="s">
        <v>154</v>
      </c>
      <c r="B42" s="93" t="s">
        <v>151</v>
      </c>
      <c r="C42" s="26">
        <v>31</v>
      </c>
      <c r="D42" s="93">
        <v>1938</v>
      </c>
      <c r="E42" s="94" t="s">
        <v>153</v>
      </c>
      <c r="F42" s="26">
        <v>18</v>
      </c>
      <c r="G42" s="26">
        <v>1939</v>
      </c>
      <c r="H42" s="95" t="s">
        <v>162</v>
      </c>
      <c r="I42" s="18" t="str">
        <f t="shared" si="0"/>
        <v>31-Ene-1938</v>
      </c>
      <c r="J42" s="18" t="str">
        <f t="shared" si="1"/>
        <v>18-Feb-1939</v>
      </c>
      <c r="K42" s="114">
        <f t="shared" si="2"/>
        <v>13911</v>
      </c>
      <c r="L42" s="114">
        <f t="shared" si="3"/>
        <v>14294</v>
      </c>
      <c r="M42">
        <f t="shared" si="7"/>
        <v>383</v>
      </c>
    </row>
    <row r="43" spans="1:13">
      <c r="A43" s="80" t="s">
        <v>156</v>
      </c>
      <c r="B43" s="93" t="s">
        <v>153</v>
      </c>
      <c r="C43" s="26">
        <v>19</v>
      </c>
      <c r="D43" s="93">
        <v>1939</v>
      </c>
      <c r="E43" s="94" t="s">
        <v>153</v>
      </c>
      <c r="F43" s="26">
        <v>7</v>
      </c>
      <c r="G43" s="26">
        <v>1940</v>
      </c>
      <c r="H43" s="95" t="s">
        <v>162</v>
      </c>
      <c r="I43" s="18" t="str">
        <f t="shared" si="0"/>
        <v>19-Feb-1939</v>
      </c>
      <c r="J43" s="18" t="str">
        <f t="shared" si="1"/>
        <v>7-Feb-1940</v>
      </c>
      <c r="K43" s="114">
        <f t="shared" si="2"/>
        <v>14295</v>
      </c>
      <c r="L43" s="114">
        <f t="shared" si="3"/>
        <v>14648</v>
      </c>
      <c r="M43">
        <f t="shared" si="7"/>
        <v>353</v>
      </c>
    </row>
    <row r="44" spans="1:13">
      <c r="A44" s="80" t="s">
        <v>165</v>
      </c>
      <c r="B44" s="93" t="s">
        <v>153</v>
      </c>
      <c r="C44" s="26">
        <v>8</v>
      </c>
      <c r="D44" s="93">
        <v>1940</v>
      </c>
      <c r="E44" s="94" t="s">
        <v>151</v>
      </c>
      <c r="F44" s="26">
        <v>26</v>
      </c>
      <c r="G44" s="26">
        <v>1941</v>
      </c>
      <c r="H44" s="95" t="s">
        <v>152</v>
      </c>
      <c r="I44" s="18" t="str">
        <f t="shared" si="0"/>
        <v>8-Feb-1940</v>
      </c>
      <c r="J44" s="18" t="str">
        <f t="shared" si="1"/>
        <v>26-Ene-1941</v>
      </c>
      <c r="K44" s="114">
        <f t="shared" si="2"/>
        <v>14649</v>
      </c>
      <c r="L44" s="114">
        <f t="shared" si="3"/>
        <v>15002</v>
      </c>
      <c r="M44">
        <f t="shared" si="7"/>
        <v>353</v>
      </c>
    </row>
    <row r="45" spans="1:13">
      <c r="A45" s="80" t="s">
        <v>158</v>
      </c>
      <c r="B45" s="93" t="s">
        <v>151</v>
      </c>
      <c r="C45" s="26">
        <v>27</v>
      </c>
      <c r="D45" s="93">
        <v>1941</v>
      </c>
      <c r="E45" s="94" t="s">
        <v>153</v>
      </c>
      <c r="F45" s="26">
        <v>14</v>
      </c>
      <c r="G45" s="26">
        <v>1942</v>
      </c>
      <c r="H45" s="95" t="s">
        <v>152</v>
      </c>
      <c r="I45" s="18" t="str">
        <f t="shared" si="0"/>
        <v>27-Ene-1941</v>
      </c>
      <c r="J45" s="18" t="str">
        <f t="shared" si="1"/>
        <v>14-Feb-1942</v>
      </c>
      <c r="K45" s="114">
        <f t="shared" si="2"/>
        <v>15003</v>
      </c>
      <c r="L45" s="114">
        <f t="shared" si="3"/>
        <v>15386</v>
      </c>
      <c r="M45">
        <f t="shared" si="7"/>
        <v>383</v>
      </c>
    </row>
    <row r="46" spans="1:13">
      <c r="A46" s="80" t="s">
        <v>159</v>
      </c>
      <c r="B46" s="93" t="s">
        <v>153</v>
      </c>
      <c r="C46" s="26">
        <v>15</v>
      </c>
      <c r="D46" s="93">
        <v>1942</v>
      </c>
      <c r="E46" s="94" t="s">
        <v>153</v>
      </c>
      <c r="F46" s="26">
        <v>4</v>
      </c>
      <c r="G46" s="26">
        <v>1943</v>
      </c>
      <c r="H46" s="95" t="s">
        <v>155</v>
      </c>
      <c r="I46" s="18" t="str">
        <f t="shared" si="0"/>
        <v>15-Feb-1942</v>
      </c>
      <c r="J46" s="18" t="str">
        <f t="shared" si="1"/>
        <v>4-Feb-1943</v>
      </c>
      <c r="K46" s="114">
        <f t="shared" si="2"/>
        <v>15387</v>
      </c>
      <c r="L46" s="114">
        <f t="shared" si="3"/>
        <v>15741</v>
      </c>
      <c r="M46">
        <f t="shared" si="7"/>
        <v>354</v>
      </c>
    </row>
    <row r="47" spans="1:13">
      <c r="A47" s="80" t="s">
        <v>257</v>
      </c>
      <c r="B47" s="93" t="s">
        <v>153</v>
      </c>
      <c r="C47" s="26">
        <v>5</v>
      </c>
      <c r="D47" s="93">
        <v>1943</v>
      </c>
      <c r="E47" s="94" t="s">
        <v>151</v>
      </c>
      <c r="F47" s="26">
        <v>24</v>
      </c>
      <c r="G47" s="26">
        <v>1944</v>
      </c>
      <c r="H47" s="95" t="s">
        <v>155</v>
      </c>
      <c r="I47" s="18" t="str">
        <f t="shared" si="0"/>
        <v>5-Feb-1943</v>
      </c>
      <c r="J47" s="18" t="str">
        <f t="shared" si="1"/>
        <v>24-Ene-1944</v>
      </c>
      <c r="K47" s="114">
        <f t="shared" si="2"/>
        <v>15742</v>
      </c>
      <c r="L47" s="114">
        <f t="shared" si="3"/>
        <v>16095</v>
      </c>
      <c r="M47">
        <f t="shared" si="7"/>
        <v>353</v>
      </c>
    </row>
    <row r="48" spans="1:13">
      <c r="A48" s="80" t="s">
        <v>161</v>
      </c>
      <c r="B48" s="93" t="s">
        <v>151</v>
      </c>
      <c r="C48" s="26">
        <v>25</v>
      </c>
      <c r="D48" s="93">
        <v>1944</v>
      </c>
      <c r="E48" s="94" t="s">
        <v>153</v>
      </c>
      <c r="F48" s="26">
        <v>12</v>
      </c>
      <c r="G48" s="26">
        <v>1945</v>
      </c>
      <c r="H48" s="95" t="s">
        <v>157</v>
      </c>
      <c r="I48" s="18" t="str">
        <f t="shared" si="0"/>
        <v>25-Ene-1944</v>
      </c>
      <c r="J48" s="18" t="str">
        <f t="shared" si="1"/>
        <v>12-Feb-1945</v>
      </c>
      <c r="K48" s="114">
        <f t="shared" si="2"/>
        <v>16096</v>
      </c>
      <c r="L48" s="114">
        <f t="shared" si="3"/>
        <v>16480</v>
      </c>
      <c r="M48">
        <f t="shared" si="7"/>
        <v>384</v>
      </c>
    </row>
    <row r="49" spans="1:13">
      <c r="A49" s="80" t="s">
        <v>163</v>
      </c>
      <c r="B49" s="93" t="s">
        <v>153</v>
      </c>
      <c r="C49" s="26">
        <v>13</v>
      </c>
      <c r="D49" s="93">
        <v>1945</v>
      </c>
      <c r="E49" s="94" t="s">
        <v>153</v>
      </c>
      <c r="F49" s="26">
        <v>1</v>
      </c>
      <c r="G49" s="26">
        <v>1946</v>
      </c>
      <c r="H49" s="95" t="s">
        <v>157</v>
      </c>
      <c r="I49" s="18" t="str">
        <f t="shared" si="0"/>
        <v>13-Feb-1945</v>
      </c>
      <c r="J49" s="18" t="str">
        <f t="shared" si="1"/>
        <v>1-Feb-1946</v>
      </c>
      <c r="K49" s="114">
        <f t="shared" si="2"/>
        <v>16481</v>
      </c>
      <c r="L49" s="114">
        <f t="shared" si="3"/>
        <v>16834</v>
      </c>
      <c r="M49">
        <f t="shared" si="7"/>
        <v>353</v>
      </c>
    </row>
    <row r="50" spans="1:13">
      <c r="A50" s="80" t="s">
        <v>164</v>
      </c>
      <c r="B50" s="93" t="s">
        <v>153</v>
      </c>
      <c r="C50" s="26">
        <v>2</v>
      </c>
      <c r="D50" s="93">
        <v>1946</v>
      </c>
      <c r="E50" s="94" t="s">
        <v>151</v>
      </c>
      <c r="F50" s="26">
        <v>21</v>
      </c>
      <c r="G50" s="26">
        <v>1947</v>
      </c>
      <c r="H50" s="95" t="s">
        <v>160</v>
      </c>
      <c r="I50" s="18" t="str">
        <f t="shared" si="0"/>
        <v>2-Feb-1946</v>
      </c>
      <c r="J50" s="18" t="str">
        <f t="shared" si="1"/>
        <v>21-Ene-1947</v>
      </c>
      <c r="K50" s="114">
        <f t="shared" si="2"/>
        <v>16835</v>
      </c>
      <c r="L50" s="114">
        <f t="shared" si="3"/>
        <v>17188</v>
      </c>
      <c r="M50">
        <f t="shared" si="7"/>
        <v>353</v>
      </c>
    </row>
    <row r="51" spans="1:13" ht="13.5" thickBot="1">
      <c r="A51" s="112" t="s">
        <v>296</v>
      </c>
      <c r="B51" s="109" t="s">
        <v>151</v>
      </c>
      <c r="C51" s="110">
        <v>22</v>
      </c>
      <c r="D51" s="109">
        <v>1947</v>
      </c>
      <c r="E51" s="111" t="s">
        <v>153</v>
      </c>
      <c r="F51" s="110">
        <v>9</v>
      </c>
      <c r="G51" s="110">
        <v>1948</v>
      </c>
      <c r="H51" s="113" t="s">
        <v>160</v>
      </c>
      <c r="I51" s="18" t="str">
        <f t="shared" si="0"/>
        <v>22-Ene-1947</v>
      </c>
      <c r="J51" s="18" t="str">
        <f t="shared" si="1"/>
        <v>9-Feb-1948</v>
      </c>
      <c r="K51" s="114">
        <f t="shared" si="2"/>
        <v>17189</v>
      </c>
      <c r="L51" s="114">
        <f t="shared" si="3"/>
        <v>17572</v>
      </c>
      <c r="M51">
        <f t="shared" si="7"/>
        <v>383</v>
      </c>
    </row>
    <row r="52" spans="1:13">
      <c r="A52" s="75" t="s">
        <v>150</v>
      </c>
      <c r="B52" s="99" t="s">
        <v>153</v>
      </c>
      <c r="C52" s="90">
        <v>10</v>
      </c>
      <c r="D52" s="99">
        <v>1948</v>
      </c>
      <c r="E52" s="99" t="s">
        <v>151</v>
      </c>
      <c r="F52" s="90">
        <f>+C53-1</f>
        <v>28</v>
      </c>
      <c r="G52" s="90">
        <v>1949</v>
      </c>
      <c r="H52" s="100" t="s">
        <v>162</v>
      </c>
      <c r="I52" s="18" t="str">
        <f t="shared" si="0"/>
        <v>10-Feb-1948</v>
      </c>
      <c r="J52" s="18" t="str">
        <f t="shared" si="1"/>
        <v>28-Ene-1949</v>
      </c>
      <c r="K52" s="114">
        <f t="shared" si="2"/>
        <v>17573</v>
      </c>
      <c r="L52" s="114">
        <f t="shared" si="3"/>
        <v>17926</v>
      </c>
      <c r="M52">
        <f t="shared" si="7"/>
        <v>353</v>
      </c>
    </row>
    <row r="53" spans="1:13">
      <c r="A53" s="80" t="s">
        <v>256</v>
      </c>
      <c r="B53" s="93" t="s">
        <v>151</v>
      </c>
      <c r="C53" s="26">
        <v>29</v>
      </c>
      <c r="D53" s="93">
        <v>1949</v>
      </c>
      <c r="E53" s="93" t="s">
        <v>153</v>
      </c>
      <c r="F53" s="26">
        <f>+C54-1</f>
        <v>16</v>
      </c>
      <c r="G53" s="26">
        <v>1950</v>
      </c>
      <c r="H53" s="95" t="s">
        <v>162</v>
      </c>
      <c r="I53" s="18" t="str">
        <f t="shared" si="0"/>
        <v>29-Ene-1949</v>
      </c>
      <c r="J53" s="18" t="str">
        <f t="shared" si="1"/>
        <v>16-Feb-1950</v>
      </c>
      <c r="K53" s="114">
        <f t="shared" si="2"/>
        <v>17927</v>
      </c>
      <c r="L53" s="114">
        <f t="shared" si="3"/>
        <v>18310</v>
      </c>
      <c r="M53">
        <f t="shared" si="7"/>
        <v>383</v>
      </c>
    </row>
    <row r="54" spans="1:13">
      <c r="A54" s="80" t="s">
        <v>154</v>
      </c>
      <c r="B54" s="93" t="s">
        <v>153</v>
      </c>
      <c r="C54" s="26">
        <v>17</v>
      </c>
      <c r="D54" s="93">
        <v>1950</v>
      </c>
      <c r="E54" s="93" t="s">
        <v>153</v>
      </c>
      <c r="F54" s="26">
        <f t="shared" ref="F54:F62" si="8">+C55-1</f>
        <v>5</v>
      </c>
      <c r="G54" s="26">
        <v>1951</v>
      </c>
      <c r="H54" s="95" t="s">
        <v>152</v>
      </c>
      <c r="I54" s="18" t="str">
        <f t="shared" si="0"/>
        <v>17-Feb-1950</v>
      </c>
      <c r="J54" s="18" t="str">
        <f t="shared" si="1"/>
        <v>5-Feb-1951</v>
      </c>
      <c r="K54" s="114">
        <f t="shared" si="2"/>
        <v>18311</v>
      </c>
      <c r="L54" s="114">
        <f t="shared" si="3"/>
        <v>18664</v>
      </c>
      <c r="M54">
        <f t="shared" si="7"/>
        <v>353</v>
      </c>
    </row>
    <row r="55" spans="1:13">
      <c r="A55" s="80" t="s">
        <v>156</v>
      </c>
      <c r="B55" s="93" t="s">
        <v>153</v>
      </c>
      <c r="C55" s="26">
        <v>6</v>
      </c>
      <c r="D55" s="93">
        <v>1951</v>
      </c>
      <c r="E55" s="93" t="s">
        <v>151</v>
      </c>
      <c r="F55" s="26">
        <f t="shared" si="8"/>
        <v>26</v>
      </c>
      <c r="G55" s="26">
        <v>1952</v>
      </c>
      <c r="H55" s="95" t="s">
        <v>152</v>
      </c>
      <c r="I55" s="18" t="str">
        <f t="shared" si="0"/>
        <v>6-Feb-1951</v>
      </c>
      <c r="J55" s="18" t="str">
        <f t="shared" si="1"/>
        <v>26-Ene-1952</v>
      </c>
      <c r="K55" s="114">
        <f t="shared" si="2"/>
        <v>18665</v>
      </c>
      <c r="L55" s="114">
        <f t="shared" si="3"/>
        <v>19019</v>
      </c>
      <c r="M55">
        <f t="shared" si="7"/>
        <v>354</v>
      </c>
    </row>
    <row r="56" spans="1:13">
      <c r="A56" s="80" t="s">
        <v>165</v>
      </c>
      <c r="B56" s="93" t="s">
        <v>151</v>
      </c>
      <c r="C56" s="26">
        <v>27</v>
      </c>
      <c r="D56" s="93">
        <v>1952</v>
      </c>
      <c r="E56" s="93" t="s">
        <v>153</v>
      </c>
      <c r="F56" s="26">
        <f t="shared" si="8"/>
        <v>13</v>
      </c>
      <c r="G56" s="26">
        <v>1953</v>
      </c>
      <c r="H56" s="95" t="s">
        <v>155</v>
      </c>
      <c r="I56" s="18" t="str">
        <f t="shared" si="0"/>
        <v>27-Ene-1952</v>
      </c>
      <c r="J56" s="18" t="str">
        <f t="shared" si="1"/>
        <v>13-Feb-1953</v>
      </c>
      <c r="K56" s="114">
        <f t="shared" si="2"/>
        <v>19020</v>
      </c>
      <c r="L56" s="114">
        <f t="shared" si="3"/>
        <v>19403</v>
      </c>
      <c r="M56">
        <f t="shared" si="7"/>
        <v>383</v>
      </c>
    </row>
    <row r="57" spans="1:13">
      <c r="A57" s="80" t="s">
        <v>158</v>
      </c>
      <c r="B57" s="93" t="s">
        <v>153</v>
      </c>
      <c r="C57" s="26">
        <v>14</v>
      </c>
      <c r="D57" s="93">
        <v>1953</v>
      </c>
      <c r="E57" s="93" t="s">
        <v>153</v>
      </c>
      <c r="F57" s="26">
        <f t="shared" si="8"/>
        <v>2</v>
      </c>
      <c r="G57" s="26">
        <v>1954</v>
      </c>
      <c r="H57" s="95" t="s">
        <v>155</v>
      </c>
      <c r="I57" s="18" t="str">
        <f t="shared" si="0"/>
        <v>14-Feb-1953</v>
      </c>
      <c r="J57" s="18" t="str">
        <f t="shared" si="1"/>
        <v>2-Feb-1954</v>
      </c>
      <c r="K57" s="114">
        <f t="shared" si="2"/>
        <v>19404</v>
      </c>
      <c r="L57" s="114">
        <f t="shared" si="3"/>
        <v>19757</v>
      </c>
      <c r="M57">
        <f t="shared" si="7"/>
        <v>353</v>
      </c>
    </row>
    <row r="58" spans="1:13">
      <c r="A58" s="80" t="s">
        <v>159</v>
      </c>
      <c r="B58" s="93" t="s">
        <v>153</v>
      </c>
      <c r="C58" s="26">
        <v>3</v>
      </c>
      <c r="D58" s="93">
        <v>1954</v>
      </c>
      <c r="E58" s="93" t="s">
        <v>151</v>
      </c>
      <c r="F58" s="26">
        <f t="shared" si="8"/>
        <v>23</v>
      </c>
      <c r="G58" s="26">
        <v>1955</v>
      </c>
      <c r="H58" s="95" t="s">
        <v>157</v>
      </c>
      <c r="I58" s="18" t="str">
        <f t="shared" si="0"/>
        <v>3-Feb-1954</v>
      </c>
      <c r="J58" s="18" t="str">
        <f t="shared" si="1"/>
        <v>23-Ene-1955</v>
      </c>
      <c r="K58" s="114">
        <f t="shared" si="2"/>
        <v>19758</v>
      </c>
      <c r="L58" s="114">
        <f t="shared" si="3"/>
        <v>20112</v>
      </c>
      <c r="M58">
        <f t="shared" si="7"/>
        <v>354</v>
      </c>
    </row>
    <row r="59" spans="1:13">
      <c r="A59" s="80" t="s">
        <v>257</v>
      </c>
      <c r="B59" s="93" t="s">
        <v>151</v>
      </c>
      <c r="C59" s="26">
        <v>24</v>
      </c>
      <c r="D59" s="93">
        <v>1955</v>
      </c>
      <c r="E59" s="93" t="s">
        <v>153</v>
      </c>
      <c r="F59" s="26">
        <f t="shared" si="8"/>
        <v>11</v>
      </c>
      <c r="G59" s="26">
        <v>1956</v>
      </c>
      <c r="H59" s="95" t="s">
        <v>157</v>
      </c>
      <c r="I59" s="18" t="str">
        <f t="shared" si="0"/>
        <v>24-Ene-1955</v>
      </c>
      <c r="J59" s="18" t="str">
        <f t="shared" si="1"/>
        <v>11-Feb-1956</v>
      </c>
      <c r="K59" s="114">
        <f t="shared" si="2"/>
        <v>20113</v>
      </c>
      <c r="L59" s="114">
        <f t="shared" si="3"/>
        <v>20496</v>
      </c>
      <c r="M59">
        <f t="shared" si="7"/>
        <v>383</v>
      </c>
    </row>
    <row r="60" spans="1:13">
      <c r="A60" s="80" t="s">
        <v>161</v>
      </c>
      <c r="B60" s="93" t="s">
        <v>153</v>
      </c>
      <c r="C60" s="26">
        <v>12</v>
      </c>
      <c r="D60" s="93">
        <v>1956</v>
      </c>
      <c r="E60" s="93" t="s">
        <v>151</v>
      </c>
      <c r="F60" s="26">
        <f t="shared" si="8"/>
        <v>30</v>
      </c>
      <c r="G60" s="26">
        <v>1957</v>
      </c>
      <c r="H60" s="95" t="s">
        <v>160</v>
      </c>
      <c r="I60" s="18" t="str">
        <f t="shared" si="0"/>
        <v>12-Feb-1956</v>
      </c>
      <c r="J60" s="18" t="str">
        <f t="shared" si="1"/>
        <v>30-Ene-1957</v>
      </c>
      <c r="K60" s="114">
        <f t="shared" si="2"/>
        <v>20497</v>
      </c>
      <c r="L60" s="114">
        <f t="shared" si="3"/>
        <v>20850</v>
      </c>
      <c r="M60">
        <f t="shared" si="7"/>
        <v>353</v>
      </c>
    </row>
    <row r="61" spans="1:13">
      <c r="A61" s="80" t="s">
        <v>163</v>
      </c>
      <c r="B61" s="93" t="s">
        <v>151</v>
      </c>
      <c r="C61" s="26">
        <v>31</v>
      </c>
      <c r="D61" s="93">
        <v>1957</v>
      </c>
      <c r="E61" s="93" t="s">
        <v>153</v>
      </c>
      <c r="F61" s="26">
        <f t="shared" si="8"/>
        <v>17</v>
      </c>
      <c r="G61" s="26">
        <v>1958</v>
      </c>
      <c r="H61" s="95" t="s">
        <v>160</v>
      </c>
      <c r="I61" s="18" t="str">
        <f t="shared" si="0"/>
        <v>31-Ene-1957</v>
      </c>
      <c r="J61" s="18" t="str">
        <f t="shared" si="1"/>
        <v>17-Feb-1958</v>
      </c>
      <c r="K61" s="114">
        <f t="shared" si="2"/>
        <v>20851</v>
      </c>
      <c r="L61" s="114">
        <f t="shared" si="3"/>
        <v>21233</v>
      </c>
      <c r="M61">
        <f t="shared" si="7"/>
        <v>382</v>
      </c>
    </row>
    <row r="62" spans="1:13">
      <c r="A62" s="80" t="s">
        <v>164</v>
      </c>
      <c r="B62" s="93" t="s">
        <v>153</v>
      </c>
      <c r="C62" s="26">
        <v>18</v>
      </c>
      <c r="D62" s="93">
        <v>1958</v>
      </c>
      <c r="E62" s="93" t="s">
        <v>153</v>
      </c>
      <c r="F62" s="26">
        <f t="shared" si="8"/>
        <v>7</v>
      </c>
      <c r="G62" s="26">
        <v>1959</v>
      </c>
      <c r="H62" s="95" t="s">
        <v>162</v>
      </c>
      <c r="I62" s="18" t="str">
        <f t="shared" si="0"/>
        <v>18-Feb-1958</v>
      </c>
      <c r="J62" s="18" t="str">
        <f t="shared" si="1"/>
        <v>7-Feb-1959</v>
      </c>
      <c r="K62" s="114">
        <f t="shared" si="2"/>
        <v>21234</v>
      </c>
      <c r="L62" s="114">
        <f t="shared" si="3"/>
        <v>21588</v>
      </c>
      <c r="M62">
        <f t="shared" si="7"/>
        <v>354</v>
      </c>
    </row>
    <row r="63" spans="1:13" ht="13.5" thickBot="1">
      <c r="A63" s="85" t="s">
        <v>296</v>
      </c>
      <c r="B63" s="96" t="s">
        <v>153</v>
      </c>
      <c r="C63" s="29">
        <v>8</v>
      </c>
      <c r="D63" s="96">
        <v>1959</v>
      </c>
      <c r="E63" s="96" t="s">
        <v>151</v>
      </c>
      <c r="F63" s="29">
        <f>+C64-1</f>
        <v>27</v>
      </c>
      <c r="G63" s="29">
        <v>1960</v>
      </c>
      <c r="H63" s="98" t="s">
        <v>162</v>
      </c>
      <c r="I63" s="18" t="str">
        <f t="shared" si="0"/>
        <v>8-Feb-1959</v>
      </c>
      <c r="J63" s="18" t="str">
        <f t="shared" si="1"/>
        <v>27-Ene-1960</v>
      </c>
      <c r="K63" s="114">
        <f t="shared" si="2"/>
        <v>21589</v>
      </c>
      <c r="L63" s="114">
        <f t="shared" si="3"/>
        <v>21942</v>
      </c>
      <c r="M63">
        <f t="shared" si="7"/>
        <v>353</v>
      </c>
    </row>
    <row r="64" spans="1:13">
      <c r="A64" s="101" t="s">
        <v>150</v>
      </c>
      <c r="B64" s="102" t="s">
        <v>151</v>
      </c>
      <c r="C64" s="103">
        <v>28</v>
      </c>
      <c r="D64" s="102">
        <v>1960</v>
      </c>
      <c r="E64" s="104" t="s">
        <v>153</v>
      </c>
      <c r="F64" s="90">
        <f>+C65-1</f>
        <v>14</v>
      </c>
      <c r="G64" s="103">
        <v>1961</v>
      </c>
      <c r="H64" s="105" t="s">
        <v>152</v>
      </c>
      <c r="I64" s="18" t="str">
        <f t="shared" si="0"/>
        <v>28-Ene-1960</v>
      </c>
      <c r="J64" s="18" t="str">
        <f t="shared" si="1"/>
        <v>14-Feb-1961</v>
      </c>
      <c r="K64" s="114">
        <f t="shared" si="2"/>
        <v>21943</v>
      </c>
      <c r="L64" s="114">
        <f t="shared" si="3"/>
        <v>22326</v>
      </c>
      <c r="M64">
        <f t="shared" si="7"/>
        <v>383</v>
      </c>
    </row>
    <row r="65" spans="1:13">
      <c r="A65" s="80" t="s">
        <v>256</v>
      </c>
      <c r="B65" s="93" t="s">
        <v>153</v>
      </c>
      <c r="C65" s="26">
        <v>15</v>
      </c>
      <c r="D65" s="93">
        <v>1961</v>
      </c>
      <c r="E65" s="94" t="s">
        <v>153</v>
      </c>
      <c r="F65" s="26">
        <f>+C66-1</f>
        <v>4</v>
      </c>
      <c r="G65" s="26">
        <v>1962</v>
      </c>
      <c r="H65" s="95" t="s">
        <v>152</v>
      </c>
      <c r="I65" s="18" t="str">
        <f t="shared" si="0"/>
        <v>15-Feb-1961</v>
      </c>
      <c r="J65" s="18" t="str">
        <f t="shared" si="1"/>
        <v>4-Feb-1962</v>
      </c>
      <c r="K65" s="114">
        <f t="shared" si="2"/>
        <v>22327</v>
      </c>
      <c r="L65" s="114">
        <f t="shared" si="3"/>
        <v>22681</v>
      </c>
      <c r="M65">
        <f t="shared" si="7"/>
        <v>354</v>
      </c>
    </row>
    <row r="66" spans="1:13">
      <c r="A66" s="80" t="s">
        <v>154</v>
      </c>
      <c r="B66" s="93" t="s">
        <v>153</v>
      </c>
      <c r="C66" s="26">
        <v>5</v>
      </c>
      <c r="D66" s="93">
        <v>1962</v>
      </c>
      <c r="E66" s="94" t="s">
        <v>151</v>
      </c>
      <c r="F66" s="26">
        <f t="shared" ref="F66:F74" si="9">+C67-1</f>
        <v>24</v>
      </c>
      <c r="G66" s="26">
        <v>1963</v>
      </c>
      <c r="H66" s="95" t="s">
        <v>155</v>
      </c>
      <c r="I66" s="18" t="str">
        <f t="shared" si="0"/>
        <v>5-Feb-1962</v>
      </c>
      <c r="J66" s="18" t="str">
        <f t="shared" si="1"/>
        <v>24-Ene-1963</v>
      </c>
      <c r="K66" s="114">
        <f t="shared" si="2"/>
        <v>22682</v>
      </c>
      <c r="L66" s="114">
        <f t="shared" si="3"/>
        <v>23035</v>
      </c>
      <c r="M66">
        <f t="shared" si="7"/>
        <v>353</v>
      </c>
    </row>
    <row r="67" spans="1:13">
      <c r="A67" s="80" t="s">
        <v>156</v>
      </c>
      <c r="B67" s="93" t="s">
        <v>151</v>
      </c>
      <c r="C67" s="26">
        <v>25</v>
      </c>
      <c r="D67" s="93">
        <v>1963</v>
      </c>
      <c r="E67" s="94" t="s">
        <v>153</v>
      </c>
      <c r="F67" s="26">
        <f t="shared" si="9"/>
        <v>12</v>
      </c>
      <c r="G67" s="26">
        <v>1964</v>
      </c>
      <c r="H67" s="95" t="s">
        <v>155</v>
      </c>
      <c r="I67" s="18" t="str">
        <f t="shared" si="0"/>
        <v>25-Ene-1963</v>
      </c>
      <c r="J67" s="18" t="str">
        <f t="shared" si="1"/>
        <v>12-Feb-1964</v>
      </c>
      <c r="K67" s="114">
        <f t="shared" si="2"/>
        <v>23036</v>
      </c>
      <c r="L67" s="114">
        <f t="shared" si="3"/>
        <v>23419</v>
      </c>
      <c r="M67">
        <f t="shared" si="7"/>
        <v>383</v>
      </c>
    </row>
    <row r="68" spans="1:13">
      <c r="A68" s="80" t="s">
        <v>165</v>
      </c>
      <c r="B68" s="93" t="s">
        <v>153</v>
      </c>
      <c r="C68" s="26">
        <v>13</v>
      </c>
      <c r="D68" s="93">
        <v>1964</v>
      </c>
      <c r="E68" s="94" t="s">
        <v>153</v>
      </c>
      <c r="F68" s="26">
        <f t="shared" si="9"/>
        <v>1</v>
      </c>
      <c r="G68" s="26">
        <v>1965</v>
      </c>
      <c r="H68" s="95" t="s">
        <v>157</v>
      </c>
      <c r="I68" s="18" t="str">
        <f t="shared" si="0"/>
        <v>13-Feb-1964</v>
      </c>
      <c r="J68" s="18" t="str">
        <f t="shared" si="1"/>
        <v>1-Feb-1965</v>
      </c>
      <c r="K68" s="114">
        <f t="shared" si="2"/>
        <v>23420</v>
      </c>
      <c r="L68" s="114">
        <f t="shared" si="3"/>
        <v>23774</v>
      </c>
      <c r="M68">
        <f t="shared" si="7"/>
        <v>354</v>
      </c>
    </row>
    <row r="69" spans="1:13">
      <c r="A69" s="80" t="s">
        <v>158</v>
      </c>
      <c r="B69" s="93" t="s">
        <v>153</v>
      </c>
      <c r="C69" s="26">
        <v>2</v>
      </c>
      <c r="D69" s="93">
        <v>1965</v>
      </c>
      <c r="E69" s="94" t="s">
        <v>151</v>
      </c>
      <c r="F69" s="26">
        <f t="shared" si="9"/>
        <v>20</v>
      </c>
      <c r="G69" s="26">
        <v>1966</v>
      </c>
      <c r="H69" s="95" t="s">
        <v>157</v>
      </c>
      <c r="I69" s="18" t="str">
        <f t="shared" ref="I69:I111" si="10">CONCATENATE(TEXT(C69,"##"),"-", MID(B69,1,3),"-",TEXT(D69,"###0"))</f>
        <v>2-Feb-1965</v>
      </c>
      <c r="J69" s="18" t="str">
        <f t="shared" ref="J69:J111" si="11">CONCATENATE(TEXT(F69,"##"),"-", MID(E69,1,3),"-",TEXT(G69,"###0"))</f>
        <v>20-Ene-1966</v>
      </c>
      <c r="K69" s="114">
        <f t="shared" ref="K69:K111" si="12">DATE(D69,MONTH(I69),C69)</f>
        <v>23775</v>
      </c>
      <c r="L69" s="114">
        <f t="shared" ref="L69:L111" si="13">DATE(G69,MONTH(J69),F69)</f>
        <v>24127</v>
      </c>
      <c r="M69">
        <f t="shared" si="7"/>
        <v>352</v>
      </c>
    </row>
    <row r="70" spans="1:13">
      <c r="A70" s="80" t="s">
        <v>159</v>
      </c>
      <c r="B70" s="93" t="s">
        <v>151</v>
      </c>
      <c r="C70" s="26">
        <v>21</v>
      </c>
      <c r="D70" s="93">
        <v>1966</v>
      </c>
      <c r="E70" s="94" t="s">
        <v>153</v>
      </c>
      <c r="F70" s="26">
        <f t="shared" si="9"/>
        <v>8</v>
      </c>
      <c r="G70" s="26">
        <v>1967</v>
      </c>
      <c r="H70" s="95" t="s">
        <v>160</v>
      </c>
      <c r="I70" s="18" t="str">
        <f t="shared" si="10"/>
        <v>21-Ene-1966</v>
      </c>
      <c r="J70" s="18" t="str">
        <f t="shared" si="11"/>
        <v>8-Feb-1967</v>
      </c>
      <c r="K70" s="114">
        <f t="shared" si="12"/>
        <v>24128</v>
      </c>
      <c r="L70" s="114">
        <f t="shared" si="13"/>
        <v>24511</v>
      </c>
      <c r="M70">
        <f t="shared" si="7"/>
        <v>383</v>
      </c>
    </row>
    <row r="71" spans="1:13">
      <c r="A71" s="80" t="s">
        <v>257</v>
      </c>
      <c r="B71" s="93" t="s">
        <v>153</v>
      </c>
      <c r="C71" s="26">
        <v>9</v>
      </c>
      <c r="D71" s="93">
        <v>1967</v>
      </c>
      <c r="E71" s="94" t="s">
        <v>151</v>
      </c>
      <c r="F71" s="26">
        <f t="shared" si="9"/>
        <v>29</v>
      </c>
      <c r="G71" s="26">
        <v>1968</v>
      </c>
      <c r="H71" s="95" t="s">
        <v>160</v>
      </c>
      <c r="I71" s="18" t="str">
        <f t="shared" si="10"/>
        <v>9-Feb-1967</v>
      </c>
      <c r="J71" s="18" t="str">
        <f t="shared" si="11"/>
        <v>29-Ene-1968</v>
      </c>
      <c r="K71" s="114">
        <f t="shared" si="12"/>
        <v>24512</v>
      </c>
      <c r="L71" s="114">
        <f t="shared" si="13"/>
        <v>24866</v>
      </c>
      <c r="M71">
        <f t="shared" si="7"/>
        <v>354</v>
      </c>
    </row>
    <row r="72" spans="1:13">
      <c r="A72" s="80" t="s">
        <v>161</v>
      </c>
      <c r="B72" s="93" t="s">
        <v>151</v>
      </c>
      <c r="C72" s="26">
        <v>30</v>
      </c>
      <c r="D72" s="93">
        <v>1968</v>
      </c>
      <c r="E72" s="94" t="s">
        <v>153</v>
      </c>
      <c r="F72" s="26">
        <f t="shared" si="9"/>
        <v>16</v>
      </c>
      <c r="G72" s="26">
        <v>1969</v>
      </c>
      <c r="H72" s="95" t="s">
        <v>162</v>
      </c>
      <c r="I72" s="18" t="str">
        <f t="shared" si="10"/>
        <v>30-Ene-1968</v>
      </c>
      <c r="J72" s="18" t="str">
        <f t="shared" si="11"/>
        <v>16-Feb-1969</v>
      </c>
      <c r="K72" s="114">
        <f t="shared" si="12"/>
        <v>24867</v>
      </c>
      <c r="L72" s="114">
        <f t="shared" si="13"/>
        <v>25250</v>
      </c>
      <c r="M72">
        <f t="shared" si="7"/>
        <v>383</v>
      </c>
    </row>
    <row r="73" spans="1:13">
      <c r="A73" s="80" t="s">
        <v>163</v>
      </c>
      <c r="B73" s="93" t="s">
        <v>153</v>
      </c>
      <c r="C73" s="26">
        <v>17</v>
      </c>
      <c r="D73" s="93">
        <v>1969</v>
      </c>
      <c r="E73" s="94" t="s">
        <v>153</v>
      </c>
      <c r="F73" s="26">
        <f t="shared" si="9"/>
        <v>5</v>
      </c>
      <c r="G73" s="26">
        <v>1970</v>
      </c>
      <c r="H73" s="95" t="s">
        <v>162</v>
      </c>
      <c r="I73" s="18" t="str">
        <f t="shared" si="10"/>
        <v>17-Feb-1969</v>
      </c>
      <c r="J73" s="18" t="str">
        <f t="shared" si="11"/>
        <v>5-Feb-1970</v>
      </c>
      <c r="K73" s="114">
        <f t="shared" si="12"/>
        <v>25251</v>
      </c>
      <c r="L73" s="114">
        <f t="shared" si="13"/>
        <v>25604</v>
      </c>
      <c r="M73">
        <f t="shared" si="7"/>
        <v>353</v>
      </c>
    </row>
    <row r="74" spans="1:13">
      <c r="A74" s="80" t="s">
        <v>164</v>
      </c>
      <c r="B74" s="93" t="s">
        <v>153</v>
      </c>
      <c r="C74" s="26">
        <v>6</v>
      </c>
      <c r="D74" s="93">
        <v>1970</v>
      </c>
      <c r="E74" s="94" t="s">
        <v>151</v>
      </c>
      <c r="F74" s="26">
        <f t="shared" si="9"/>
        <v>26</v>
      </c>
      <c r="G74" s="26">
        <v>1971</v>
      </c>
      <c r="H74" s="95" t="s">
        <v>152</v>
      </c>
      <c r="I74" s="18" t="str">
        <f t="shared" si="10"/>
        <v>6-Feb-1970</v>
      </c>
      <c r="J74" s="18" t="str">
        <f t="shared" si="11"/>
        <v>26-Ene-1971</v>
      </c>
      <c r="K74" s="114">
        <f t="shared" si="12"/>
        <v>25605</v>
      </c>
      <c r="L74" s="114">
        <f t="shared" si="13"/>
        <v>25959</v>
      </c>
      <c r="M74">
        <f t="shared" si="7"/>
        <v>354</v>
      </c>
    </row>
    <row r="75" spans="1:13" ht="13.5" thickBot="1">
      <c r="A75" s="85" t="s">
        <v>296</v>
      </c>
      <c r="B75" s="96" t="s">
        <v>151</v>
      </c>
      <c r="C75" s="29">
        <v>27</v>
      </c>
      <c r="D75" s="96">
        <v>1971</v>
      </c>
      <c r="E75" s="97" t="s">
        <v>153</v>
      </c>
      <c r="F75" s="29">
        <f>+C76-1</f>
        <v>15</v>
      </c>
      <c r="G75" s="29">
        <v>1972</v>
      </c>
      <c r="H75" s="98" t="s">
        <v>152</v>
      </c>
      <c r="I75" s="18" t="str">
        <f t="shared" si="10"/>
        <v>27-Ene-1971</v>
      </c>
      <c r="J75" s="18" t="str">
        <f t="shared" si="11"/>
        <v>15-Feb-1972</v>
      </c>
      <c r="K75" s="114">
        <f t="shared" si="12"/>
        <v>25960</v>
      </c>
      <c r="L75" s="114">
        <f t="shared" si="13"/>
        <v>26344</v>
      </c>
      <c r="M75">
        <f t="shared" si="7"/>
        <v>384</v>
      </c>
    </row>
    <row r="76" spans="1:13">
      <c r="A76" s="75" t="s">
        <v>150</v>
      </c>
      <c r="B76" s="99" t="s">
        <v>153</v>
      </c>
      <c r="C76" s="90">
        <v>16</v>
      </c>
      <c r="D76" s="99">
        <v>1972</v>
      </c>
      <c r="E76" s="91" t="s">
        <v>153</v>
      </c>
      <c r="F76" s="90">
        <f>+C77-1</f>
        <v>2</v>
      </c>
      <c r="G76" s="90">
        <v>1973</v>
      </c>
      <c r="H76" s="100" t="s">
        <v>155</v>
      </c>
      <c r="I76" s="18" t="str">
        <f t="shared" si="10"/>
        <v>16-Feb-1972</v>
      </c>
      <c r="J76" s="18" t="str">
        <f t="shared" si="11"/>
        <v>2-Feb-1973</v>
      </c>
      <c r="K76" s="114">
        <f t="shared" si="12"/>
        <v>26345</v>
      </c>
      <c r="L76" s="114">
        <f t="shared" si="13"/>
        <v>26697</v>
      </c>
      <c r="M76">
        <f t="shared" si="7"/>
        <v>352</v>
      </c>
    </row>
    <row r="77" spans="1:13">
      <c r="A77" s="80" t="s">
        <v>256</v>
      </c>
      <c r="B77" s="93" t="s">
        <v>153</v>
      </c>
      <c r="C77" s="26">
        <v>3</v>
      </c>
      <c r="D77" s="93">
        <v>1973</v>
      </c>
      <c r="E77" s="94" t="s">
        <v>151</v>
      </c>
      <c r="F77" s="26">
        <f>+C78-1</f>
        <v>22</v>
      </c>
      <c r="G77" s="26">
        <v>1974</v>
      </c>
      <c r="H77" s="95" t="s">
        <v>155</v>
      </c>
      <c r="I77" s="18" t="str">
        <f t="shared" si="10"/>
        <v>3-Feb-1973</v>
      </c>
      <c r="J77" s="18" t="str">
        <f t="shared" si="11"/>
        <v>22-Ene-1974</v>
      </c>
      <c r="K77" s="114">
        <f t="shared" si="12"/>
        <v>26698</v>
      </c>
      <c r="L77" s="114">
        <f t="shared" si="13"/>
        <v>27051</v>
      </c>
      <c r="M77">
        <f t="shared" si="7"/>
        <v>353</v>
      </c>
    </row>
    <row r="78" spans="1:13">
      <c r="A78" s="80" t="s">
        <v>154</v>
      </c>
      <c r="B78" s="93" t="s">
        <v>151</v>
      </c>
      <c r="C78" s="26">
        <v>23</v>
      </c>
      <c r="D78" s="93">
        <v>1974</v>
      </c>
      <c r="E78" s="94" t="s">
        <v>153</v>
      </c>
      <c r="F78" s="26">
        <f t="shared" ref="F78:F86" si="14">+C79-1</f>
        <v>10</v>
      </c>
      <c r="G78" s="26">
        <v>1975</v>
      </c>
      <c r="H78" s="95" t="s">
        <v>157</v>
      </c>
      <c r="I78" s="18" t="str">
        <f t="shared" si="10"/>
        <v>23-Ene-1974</v>
      </c>
      <c r="J78" s="18" t="str">
        <f t="shared" si="11"/>
        <v>10-Feb-1975</v>
      </c>
      <c r="K78" s="114">
        <f t="shared" si="12"/>
        <v>27052</v>
      </c>
      <c r="L78" s="114">
        <f t="shared" si="13"/>
        <v>27435</v>
      </c>
      <c r="M78">
        <f t="shared" si="7"/>
        <v>383</v>
      </c>
    </row>
    <row r="79" spans="1:13">
      <c r="A79" s="80" t="s">
        <v>156</v>
      </c>
      <c r="B79" s="93" t="s">
        <v>153</v>
      </c>
      <c r="C79" s="26">
        <v>11</v>
      </c>
      <c r="D79" s="93">
        <v>1975</v>
      </c>
      <c r="E79" s="94" t="s">
        <v>151</v>
      </c>
      <c r="F79" s="26">
        <f t="shared" si="14"/>
        <v>30</v>
      </c>
      <c r="G79" s="26">
        <v>1976</v>
      </c>
      <c r="H79" s="95" t="s">
        <v>157</v>
      </c>
      <c r="I79" s="18" t="str">
        <f t="shared" si="10"/>
        <v>11-Feb-1975</v>
      </c>
      <c r="J79" s="18" t="str">
        <f t="shared" si="11"/>
        <v>30-Ene-1976</v>
      </c>
      <c r="K79" s="114">
        <f t="shared" si="12"/>
        <v>27436</v>
      </c>
      <c r="L79" s="114">
        <f t="shared" si="13"/>
        <v>27789</v>
      </c>
      <c r="M79">
        <f t="shared" si="7"/>
        <v>353</v>
      </c>
    </row>
    <row r="80" spans="1:13">
      <c r="A80" s="80" t="s">
        <v>165</v>
      </c>
      <c r="B80" s="93" t="s">
        <v>151</v>
      </c>
      <c r="C80" s="26">
        <v>31</v>
      </c>
      <c r="D80" s="93">
        <v>1976</v>
      </c>
      <c r="E80" s="94" t="s">
        <v>153</v>
      </c>
      <c r="F80" s="26">
        <f t="shared" si="14"/>
        <v>17</v>
      </c>
      <c r="G80" s="26">
        <v>1977</v>
      </c>
      <c r="H80" s="95" t="s">
        <v>160</v>
      </c>
      <c r="I80" s="18" t="str">
        <f t="shared" si="10"/>
        <v>31-Ene-1976</v>
      </c>
      <c r="J80" s="18" t="str">
        <f t="shared" si="11"/>
        <v>17-Feb-1977</v>
      </c>
      <c r="K80" s="114">
        <f t="shared" si="12"/>
        <v>27790</v>
      </c>
      <c r="L80" s="114">
        <f t="shared" si="13"/>
        <v>28173</v>
      </c>
      <c r="M80">
        <f t="shared" si="7"/>
        <v>383</v>
      </c>
    </row>
    <row r="81" spans="1:13">
      <c r="A81" s="80" t="s">
        <v>158</v>
      </c>
      <c r="B81" s="93" t="s">
        <v>153</v>
      </c>
      <c r="C81" s="26">
        <v>18</v>
      </c>
      <c r="D81" s="93">
        <v>1977</v>
      </c>
      <c r="E81" s="94" t="s">
        <v>153</v>
      </c>
      <c r="F81" s="26">
        <f t="shared" si="14"/>
        <v>6</v>
      </c>
      <c r="G81" s="26">
        <v>1978</v>
      </c>
      <c r="H81" s="95" t="s">
        <v>160</v>
      </c>
      <c r="I81" s="18" t="str">
        <f t="shared" si="10"/>
        <v>18-Feb-1977</v>
      </c>
      <c r="J81" s="18" t="str">
        <f t="shared" si="11"/>
        <v>6-Feb-1978</v>
      </c>
      <c r="K81" s="114">
        <f t="shared" si="12"/>
        <v>28174</v>
      </c>
      <c r="L81" s="114">
        <f t="shared" si="13"/>
        <v>28527</v>
      </c>
      <c r="M81">
        <f t="shared" si="7"/>
        <v>353</v>
      </c>
    </row>
    <row r="82" spans="1:13">
      <c r="A82" s="80" t="s">
        <v>159</v>
      </c>
      <c r="B82" s="93" t="s">
        <v>153</v>
      </c>
      <c r="C82" s="26">
        <v>7</v>
      </c>
      <c r="D82" s="93">
        <v>1978</v>
      </c>
      <c r="E82" s="94" t="s">
        <v>151</v>
      </c>
      <c r="F82" s="26">
        <f t="shared" si="14"/>
        <v>27</v>
      </c>
      <c r="G82" s="26">
        <v>1979</v>
      </c>
      <c r="H82" s="95" t="s">
        <v>162</v>
      </c>
      <c r="I82" s="18" t="str">
        <f t="shared" si="10"/>
        <v>7-Feb-1978</v>
      </c>
      <c r="J82" s="18" t="str">
        <f t="shared" si="11"/>
        <v>27-Ene-1979</v>
      </c>
      <c r="K82" s="114">
        <f t="shared" si="12"/>
        <v>28528</v>
      </c>
      <c r="L82" s="114">
        <f t="shared" si="13"/>
        <v>28882</v>
      </c>
      <c r="M82">
        <f t="shared" si="7"/>
        <v>354</v>
      </c>
    </row>
    <row r="83" spans="1:13">
      <c r="A83" s="80" t="s">
        <v>257</v>
      </c>
      <c r="B83" s="93" t="s">
        <v>151</v>
      </c>
      <c r="C83" s="26">
        <v>28</v>
      </c>
      <c r="D83" s="93">
        <v>1979</v>
      </c>
      <c r="E83" s="94" t="s">
        <v>153</v>
      </c>
      <c r="F83" s="26">
        <f t="shared" si="14"/>
        <v>15</v>
      </c>
      <c r="G83" s="26">
        <v>1980</v>
      </c>
      <c r="H83" s="95" t="s">
        <v>162</v>
      </c>
      <c r="I83" s="18" t="str">
        <f t="shared" si="10"/>
        <v>28-Ene-1979</v>
      </c>
      <c r="J83" s="18" t="str">
        <f t="shared" si="11"/>
        <v>15-Feb-1980</v>
      </c>
      <c r="K83" s="114">
        <f t="shared" si="12"/>
        <v>28883</v>
      </c>
      <c r="L83" s="114">
        <f t="shared" si="13"/>
        <v>29266</v>
      </c>
      <c r="M83">
        <f t="shared" si="7"/>
        <v>383</v>
      </c>
    </row>
    <row r="84" spans="1:13">
      <c r="A84" s="80" t="s">
        <v>161</v>
      </c>
      <c r="B84" s="93" t="s">
        <v>153</v>
      </c>
      <c r="C84" s="26">
        <v>16</v>
      </c>
      <c r="D84" s="93">
        <v>1980</v>
      </c>
      <c r="E84" s="94" t="s">
        <v>153</v>
      </c>
      <c r="F84" s="26">
        <f t="shared" si="14"/>
        <v>4</v>
      </c>
      <c r="G84" s="26">
        <v>1981</v>
      </c>
      <c r="H84" s="95" t="s">
        <v>152</v>
      </c>
      <c r="I84" s="18" t="str">
        <f t="shared" si="10"/>
        <v>16-Feb-1980</v>
      </c>
      <c r="J84" s="18" t="str">
        <f t="shared" si="11"/>
        <v>4-Feb-1981</v>
      </c>
      <c r="K84" s="114">
        <f t="shared" si="12"/>
        <v>29267</v>
      </c>
      <c r="L84" s="114">
        <f t="shared" si="13"/>
        <v>29621</v>
      </c>
      <c r="M84">
        <f t="shared" si="7"/>
        <v>354</v>
      </c>
    </row>
    <row r="85" spans="1:13">
      <c r="A85" s="80" t="s">
        <v>163</v>
      </c>
      <c r="B85" s="93" t="s">
        <v>153</v>
      </c>
      <c r="C85" s="26">
        <v>5</v>
      </c>
      <c r="D85" s="93">
        <v>1981</v>
      </c>
      <c r="E85" s="94" t="s">
        <v>151</v>
      </c>
      <c r="F85" s="26">
        <f t="shared" si="14"/>
        <v>24</v>
      </c>
      <c r="G85" s="26">
        <v>1982</v>
      </c>
      <c r="H85" s="95" t="s">
        <v>152</v>
      </c>
      <c r="I85" s="18" t="str">
        <f t="shared" si="10"/>
        <v>5-Feb-1981</v>
      </c>
      <c r="J85" s="18" t="str">
        <f t="shared" si="11"/>
        <v>24-Ene-1982</v>
      </c>
      <c r="K85" s="114">
        <f t="shared" si="12"/>
        <v>29622</v>
      </c>
      <c r="L85" s="114">
        <f t="shared" si="13"/>
        <v>29975</v>
      </c>
      <c r="M85">
        <f t="shared" si="7"/>
        <v>353</v>
      </c>
    </row>
    <row r="86" spans="1:13">
      <c r="A86" s="80" t="s">
        <v>164</v>
      </c>
      <c r="B86" s="93" t="s">
        <v>151</v>
      </c>
      <c r="C86" s="26">
        <v>25</v>
      </c>
      <c r="D86" s="93">
        <v>1982</v>
      </c>
      <c r="E86" s="94" t="s">
        <v>153</v>
      </c>
      <c r="F86" s="26">
        <f t="shared" si="14"/>
        <v>12</v>
      </c>
      <c r="G86" s="26">
        <v>1983</v>
      </c>
      <c r="H86" s="95" t="s">
        <v>155</v>
      </c>
      <c r="I86" s="18" t="str">
        <f t="shared" si="10"/>
        <v>25-Ene-1982</v>
      </c>
      <c r="J86" s="18" t="str">
        <f t="shared" si="11"/>
        <v>12-Feb-1983</v>
      </c>
      <c r="K86" s="114">
        <f t="shared" si="12"/>
        <v>29976</v>
      </c>
      <c r="L86" s="114">
        <f t="shared" si="13"/>
        <v>30359</v>
      </c>
      <c r="M86">
        <f t="shared" si="7"/>
        <v>383</v>
      </c>
    </row>
    <row r="87" spans="1:13" ht="13.5" thickBot="1">
      <c r="A87" s="85" t="s">
        <v>296</v>
      </c>
      <c r="B87" s="96" t="s">
        <v>153</v>
      </c>
      <c r="C87" s="29">
        <v>13</v>
      </c>
      <c r="D87" s="96">
        <v>1983</v>
      </c>
      <c r="E87" s="97" t="s">
        <v>153</v>
      </c>
      <c r="F87" s="29">
        <f>+C88-1</f>
        <v>1</v>
      </c>
      <c r="G87" s="29">
        <v>1984</v>
      </c>
      <c r="H87" s="98" t="s">
        <v>155</v>
      </c>
      <c r="I87" s="18" t="str">
        <f t="shared" si="10"/>
        <v>13-Feb-1983</v>
      </c>
      <c r="J87" s="18" t="str">
        <f t="shared" si="11"/>
        <v>1-Feb-1984</v>
      </c>
      <c r="K87" s="114">
        <f t="shared" si="12"/>
        <v>30360</v>
      </c>
      <c r="L87" s="114">
        <f t="shared" si="13"/>
        <v>30713</v>
      </c>
      <c r="M87">
        <f t="shared" si="7"/>
        <v>353</v>
      </c>
    </row>
    <row r="88" spans="1:13">
      <c r="A88" s="75" t="s">
        <v>150</v>
      </c>
      <c r="B88" s="99" t="s">
        <v>153</v>
      </c>
      <c r="C88" s="90">
        <v>2</v>
      </c>
      <c r="D88" s="99">
        <v>1984</v>
      </c>
      <c r="E88" s="91" t="s">
        <v>153</v>
      </c>
      <c r="F88" s="90">
        <f>+C89-1</f>
        <v>19</v>
      </c>
      <c r="G88" s="90">
        <v>1985</v>
      </c>
      <c r="H88" s="100" t="s">
        <v>157</v>
      </c>
      <c r="I88" s="18" t="str">
        <f t="shared" si="10"/>
        <v>2-Feb-1984</v>
      </c>
      <c r="J88" s="18" t="str">
        <f t="shared" si="11"/>
        <v>19-Feb-1985</v>
      </c>
      <c r="K88" s="114">
        <f t="shared" si="12"/>
        <v>30714</v>
      </c>
      <c r="L88" s="114">
        <f t="shared" si="13"/>
        <v>31097</v>
      </c>
      <c r="M88">
        <f t="shared" si="7"/>
        <v>383</v>
      </c>
    </row>
    <row r="89" spans="1:13">
      <c r="A89" s="80" t="s">
        <v>256</v>
      </c>
      <c r="B89" s="93" t="s">
        <v>153</v>
      </c>
      <c r="C89" s="26">
        <v>20</v>
      </c>
      <c r="D89" s="93">
        <v>1985</v>
      </c>
      <c r="E89" s="94" t="s">
        <v>153</v>
      </c>
      <c r="F89" s="26">
        <f>+C90-1</f>
        <v>8</v>
      </c>
      <c r="G89" s="26">
        <v>1986</v>
      </c>
      <c r="H89" s="95" t="s">
        <v>157</v>
      </c>
      <c r="I89" s="18" t="str">
        <f t="shared" si="10"/>
        <v>20-Feb-1985</v>
      </c>
      <c r="J89" s="18" t="str">
        <f t="shared" si="11"/>
        <v>8-Feb-1986</v>
      </c>
      <c r="K89" s="114">
        <f t="shared" si="12"/>
        <v>31098</v>
      </c>
      <c r="L89" s="114">
        <f t="shared" si="13"/>
        <v>31451</v>
      </c>
      <c r="M89">
        <f t="shared" si="7"/>
        <v>353</v>
      </c>
    </row>
    <row r="90" spans="1:13">
      <c r="A90" s="80" t="s">
        <v>154</v>
      </c>
      <c r="B90" s="93" t="s">
        <v>153</v>
      </c>
      <c r="C90" s="26">
        <v>9</v>
      </c>
      <c r="D90" s="93">
        <v>1986</v>
      </c>
      <c r="E90" s="94" t="s">
        <v>151</v>
      </c>
      <c r="F90" s="26">
        <f t="shared" ref="F90:F98" si="15">+C91-1</f>
        <v>28</v>
      </c>
      <c r="G90" s="26">
        <v>1987</v>
      </c>
      <c r="H90" s="95" t="s">
        <v>160</v>
      </c>
      <c r="I90" s="18" t="str">
        <f t="shared" si="10"/>
        <v>9-Feb-1986</v>
      </c>
      <c r="J90" s="18" t="str">
        <f t="shared" si="11"/>
        <v>28-Ene-1987</v>
      </c>
      <c r="K90" s="114">
        <f t="shared" si="12"/>
        <v>31452</v>
      </c>
      <c r="L90" s="114">
        <f t="shared" si="13"/>
        <v>31805</v>
      </c>
      <c r="M90">
        <f t="shared" si="7"/>
        <v>353</v>
      </c>
    </row>
    <row r="91" spans="1:13">
      <c r="A91" s="80" t="s">
        <v>156</v>
      </c>
      <c r="B91" s="93" t="s">
        <v>151</v>
      </c>
      <c r="C91" s="26">
        <v>29</v>
      </c>
      <c r="D91" s="93">
        <v>1987</v>
      </c>
      <c r="E91" s="94" t="s">
        <v>153</v>
      </c>
      <c r="F91" s="26">
        <f t="shared" si="15"/>
        <v>16</v>
      </c>
      <c r="G91" s="26">
        <v>1988</v>
      </c>
      <c r="H91" s="95" t="s">
        <v>160</v>
      </c>
      <c r="I91" s="18" t="str">
        <f t="shared" si="10"/>
        <v>29-Ene-1987</v>
      </c>
      <c r="J91" s="18" t="str">
        <f t="shared" si="11"/>
        <v>16-Feb-1988</v>
      </c>
      <c r="K91" s="114">
        <f t="shared" si="12"/>
        <v>31806</v>
      </c>
      <c r="L91" s="114">
        <f t="shared" si="13"/>
        <v>32189</v>
      </c>
      <c r="M91">
        <f t="shared" si="7"/>
        <v>383</v>
      </c>
    </row>
    <row r="92" spans="1:13">
      <c r="A92" s="80" t="s">
        <v>165</v>
      </c>
      <c r="B92" s="93" t="s">
        <v>153</v>
      </c>
      <c r="C92" s="26">
        <v>17</v>
      </c>
      <c r="D92" s="93">
        <v>1988</v>
      </c>
      <c r="E92" s="94" t="s">
        <v>153</v>
      </c>
      <c r="F92" s="26">
        <f t="shared" si="15"/>
        <v>5</v>
      </c>
      <c r="G92" s="26">
        <v>1989</v>
      </c>
      <c r="H92" s="95" t="s">
        <v>162</v>
      </c>
      <c r="I92" s="18" t="str">
        <f t="shared" si="10"/>
        <v>17-Feb-1988</v>
      </c>
      <c r="J92" s="18" t="str">
        <f t="shared" si="11"/>
        <v>5-Feb-1989</v>
      </c>
      <c r="K92" s="114">
        <f t="shared" si="12"/>
        <v>32190</v>
      </c>
      <c r="L92" s="114">
        <f t="shared" si="13"/>
        <v>32544</v>
      </c>
      <c r="M92">
        <f t="shared" si="7"/>
        <v>354</v>
      </c>
    </row>
    <row r="93" spans="1:13">
      <c r="A93" s="80" t="s">
        <v>158</v>
      </c>
      <c r="B93" s="93" t="s">
        <v>153</v>
      </c>
      <c r="C93" s="26">
        <v>6</v>
      </c>
      <c r="D93" s="93">
        <v>1989</v>
      </c>
      <c r="E93" s="94" t="s">
        <v>151</v>
      </c>
      <c r="F93" s="26">
        <f t="shared" si="15"/>
        <v>26</v>
      </c>
      <c r="G93" s="26">
        <v>1990</v>
      </c>
      <c r="H93" s="95" t="s">
        <v>162</v>
      </c>
      <c r="I93" s="18" t="str">
        <f t="shared" si="10"/>
        <v>6-Feb-1989</v>
      </c>
      <c r="J93" s="18" t="str">
        <f t="shared" si="11"/>
        <v>26-Ene-1990</v>
      </c>
      <c r="K93" s="114">
        <f t="shared" si="12"/>
        <v>32545</v>
      </c>
      <c r="L93" s="114">
        <f t="shared" si="13"/>
        <v>32899</v>
      </c>
      <c r="M93">
        <f t="shared" si="7"/>
        <v>354</v>
      </c>
    </row>
    <row r="94" spans="1:13">
      <c r="A94" s="80" t="s">
        <v>159</v>
      </c>
      <c r="B94" s="93" t="s">
        <v>151</v>
      </c>
      <c r="C94" s="26">
        <v>27</v>
      </c>
      <c r="D94" s="93">
        <v>1990</v>
      </c>
      <c r="E94" s="94" t="s">
        <v>153</v>
      </c>
      <c r="F94" s="26">
        <f t="shared" si="15"/>
        <v>14</v>
      </c>
      <c r="G94" s="26">
        <v>1991</v>
      </c>
      <c r="H94" s="95" t="s">
        <v>152</v>
      </c>
      <c r="I94" s="18" t="str">
        <f t="shared" si="10"/>
        <v>27-Ene-1990</v>
      </c>
      <c r="J94" s="18" t="str">
        <f t="shared" si="11"/>
        <v>14-Feb-1991</v>
      </c>
      <c r="K94" s="114">
        <f t="shared" si="12"/>
        <v>32900</v>
      </c>
      <c r="L94" s="114">
        <f t="shared" si="13"/>
        <v>33283</v>
      </c>
      <c r="M94">
        <f t="shared" si="7"/>
        <v>383</v>
      </c>
    </row>
    <row r="95" spans="1:13">
      <c r="A95" s="80" t="s">
        <v>257</v>
      </c>
      <c r="B95" s="93" t="s">
        <v>153</v>
      </c>
      <c r="C95" s="26">
        <v>15</v>
      </c>
      <c r="D95" s="93">
        <v>1991</v>
      </c>
      <c r="E95" s="94" t="s">
        <v>153</v>
      </c>
      <c r="F95" s="26">
        <f t="shared" si="15"/>
        <v>3</v>
      </c>
      <c r="G95" s="26">
        <v>1992</v>
      </c>
      <c r="H95" s="95" t="s">
        <v>152</v>
      </c>
      <c r="I95" s="18" t="str">
        <f t="shared" si="10"/>
        <v>15-Feb-1991</v>
      </c>
      <c r="J95" s="18" t="str">
        <f t="shared" si="11"/>
        <v>3-Feb-1992</v>
      </c>
      <c r="K95" s="114">
        <f t="shared" si="12"/>
        <v>33284</v>
      </c>
      <c r="L95" s="114">
        <f t="shared" si="13"/>
        <v>33637</v>
      </c>
      <c r="M95">
        <f t="shared" si="7"/>
        <v>353</v>
      </c>
    </row>
    <row r="96" spans="1:13">
      <c r="A96" s="80" t="s">
        <v>161</v>
      </c>
      <c r="B96" s="93" t="s">
        <v>153</v>
      </c>
      <c r="C96" s="26">
        <v>4</v>
      </c>
      <c r="D96" s="93">
        <v>1992</v>
      </c>
      <c r="E96" s="94" t="s">
        <v>151</v>
      </c>
      <c r="F96" s="26">
        <f t="shared" si="15"/>
        <v>22</v>
      </c>
      <c r="G96" s="26">
        <v>1993</v>
      </c>
      <c r="H96" s="95" t="s">
        <v>155</v>
      </c>
      <c r="I96" s="18" t="str">
        <f t="shared" si="10"/>
        <v>4-Feb-1992</v>
      </c>
      <c r="J96" s="18" t="str">
        <f t="shared" si="11"/>
        <v>22-Ene-1993</v>
      </c>
      <c r="K96" s="114">
        <f t="shared" si="12"/>
        <v>33638</v>
      </c>
      <c r="L96" s="114">
        <f t="shared" si="13"/>
        <v>33991</v>
      </c>
      <c r="M96">
        <f t="shared" si="7"/>
        <v>353</v>
      </c>
    </row>
    <row r="97" spans="1:13">
      <c r="A97" s="80" t="s">
        <v>163</v>
      </c>
      <c r="B97" s="93" t="s">
        <v>151</v>
      </c>
      <c r="C97" s="26">
        <v>23</v>
      </c>
      <c r="D97" s="93">
        <v>1993</v>
      </c>
      <c r="E97" s="94" t="s">
        <v>153</v>
      </c>
      <c r="F97" s="26">
        <f t="shared" si="15"/>
        <v>9</v>
      </c>
      <c r="G97" s="26">
        <v>1994</v>
      </c>
      <c r="H97" s="95" t="s">
        <v>155</v>
      </c>
      <c r="I97" s="18" t="str">
        <f t="shared" si="10"/>
        <v>23-Ene-1993</v>
      </c>
      <c r="J97" s="18" t="str">
        <f t="shared" si="11"/>
        <v>9-Feb-1994</v>
      </c>
      <c r="K97" s="114">
        <f t="shared" si="12"/>
        <v>33992</v>
      </c>
      <c r="L97" s="114">
        <f t="shared" si="13"/>
        <v>34374</v>
      </c>
      <c r="M97">
        <f t="shared" si="7"/>
        <v>382</v>
      </c>
    </row>
    <row r="98" spans="1:13">
      <c r="A98" s="80" t="s">
        <v>164</v>
      </c>
      <c r="B98" s="93" t="s">
        <v>153</v>
      </c>
      <c r="C98" s="26">
        <v>10</v>
      </c>
      <c r="D98" s="93">
        <v>1994</v>
      </c>
      <c r="E98" s="94" t="s">
        <v>151</v>
      </c>
      <c r="F98" s="26">
        <f t="shared" si="15"/>
        <v>30</v>
      </c>
      <c r="G98" s="26">
        <v>1995</v>
      </c>
      <c r="H98" s="95" t="s">
        <v>157</v>
      </c>
      <c r="I98" s="18" t="str">
        <f t="shared" si="10"/>
        <v>10-Feb-1994</v>
      </c>
      <c r="J98" s="18" t="str">
        <f t="shared" si="11"/>
        <v>30-Ene-1995</v>
      </c>
      <c r="K98" s="114">
        <f t="shared" si="12"/>
        <v>34375</v>
      </c>
      <c r="L98" s="114">
        <f t="shared" si="13"/>
        <v>34729</v>
      </c>
      <c r="M98">
        <f t="shared" si="7"/>
        <v>354</v>
      </c>
    </row>
    <row r="99" spans="1:13" ht="13.5" thickBot="1">
      <c r="A99" s="85" t="s">
        <v>296</v>
      </c>
      <c r="B99" s="96" t="s">
        <v>151</v>
      </c>
      <c r="C99" s="29">
        <v>31</v>
      </c>
      <c r="D99" s="96">
        <v>1995</v>
      </c>
      <c r="E99" s="97" t="s">
        <v>153</v>
      </c>
      <c r="F99" s="29">
        <f>+C100-1</f>
        <v>18</v>
      </c>
      <c r="G99" s="29">
        <v>1996</v>
      </c>
      <c r="H99" s="98" t="s">
        <v>157</v>
      </c>
      <c r="I99" s="18" t="str">
        <f t="shared" si="10"/>
        <v>31-Ene-1995</v>
      </c>
      <c r="J99" s="18" t="str">
        <f t="shared" si="11"/>
        <v>18-Feb-1996</v>
      </c>
      <c r="K99" s="114">
        <f t="shared" si="12"/>
        <v>34730</v>
      </c>
      <c r="L99" s="114">
        <f t="shared" si="13"/>
        <v>35113</v>
      </c>
      <c r="M99">
        <f t="shared" si="7"/>
        <v>383</v>
      </c>
    </row>
    <row r="100" spans="1:13">
      <c r="A100" s="101" t="s">
        <v>150</v>
      </c>
      <c r="B100" s="102" t="s">
        <v>153</v>
      </c>
      <c r="C100" s="103">
        <v>19</v>
      </c>
      <c r="D100" s="102">
        <v>1996</v>
      </c>
      <c r="E100" s="91" t="s">
        <v>153</v>
      </c>
      <c r="F100" s="90">
        <f>+C101-1</f>
        <v>6</v>
      </c>
      <c r="G100" s="103">
        <v>1997</v>
      </c>
      <c r="H100" s="105" t="s">
        <v>160</v>
      </c>
      <c r="I100" s="18" t="str">
        <f t="shared" si="10"/>
        <v>19-Feb-1996</v>
      </c>
      <c r="J100" s="18" t="str">
        <f t="shared" si="11"/>
        <v>6-Feb-1997</v>
      </c>
      <c r="K100" s="114">
        <f t="shared" si="12"/>
        <v>35114</v>
      </c>
      <c r="L100" s="114">
        <f t="shared" si="13"/>
        <v>35467</v>
      </c>
      <c r="M100">
        <f t="shared" si="7"/>
        <v>353</v>
      </c>
    </row>
    <row r="101" spans="1:13">
      <c r="A101" s="80" t="s">
        <v>256</v>
      </c>
      <c r="B101" s="93" t="s">
        <v>153</v>
      </c>
      <c r="C101" s="26">
        <v>7</v>
      </c>
      <c r="D101" s="93">
        <v>1997</v>
      </c>
      <c r="E101" s="94" t="s">
        <v>151</v>
      </c>
      <c r="F101" s="26">
        <f>+C102-1</f>
        <v>27</v>
      </c>
      <c r="G101" s="26">
        <v>1998</v>
      </c>
      <c r="H101" s="95" t="s">
        <v>160</v>
      </c>
      <c r="I101" s="18" t="str">
        <f t="shared" si="10"/>
        <v>7-Feb-1997</v>
      </c>
      <c r="J101" s="18" t="str">
        <f t="shared" si="11"/>
        <v>27-Ene-1998</v>
      </c>
      <c r="K101" s="114">
        <f t="shared" si="12"/>
        <v>35468</v>
      </c>
      <c r="L101" s="114">
        <f t="shared" si="13"/>
        <v>35822</v>
      </c>
      <c r="M101">
        <f t="shared" si="7"/>
        <v>354</v>
      </c>
    </row>
    <row r="102" spans="1:13">
      <c r="A102" s="80" t="s">
        <v>154</v>
      </c>
      <c r="B102" s="93" t="s">
        <v>151</v>
      </c>
      <c r="C102" s="26">
        <v>28</v>
      </c>
      <c r="D102" s="93">
        <v>1998</v>
      </c>
      <c r="E102" s="94" t="s">
        <v>153</v>
      </c>
      <c r="F102" s="26">
        <f t="shared" ref="F102:F110" si="16">+C103-1</f>
        <v>15</v>
      </c>
      <c r="G102" s="26">
        <v>1999</v>
      </c>
      <c r="H102" s="95" t="s">
        <v>162</v>
      </c>
      <c r="I102" s="18" t="str">
        <f t="shared" si="10"/>
        <v>28-Ene-1998</v>
      </c>
      <c r="J102" s="18" t="str">
        <f t="shared" si="11"/>
        <v>15-Feb-1999</v>
      </c>
      <c r="K102" s="114">
        <f t="shared" si="12"/>
        <v>35823</v>
      </c>
      <c r="L102" s="114">
        <f t="shared" si="13"/>
        <v>36206</v>
      </c>
      <c r="M102">
        <f t="shared" si="7"/>
        <v>383</v>
      </c>
    </row>
    <row r="103" spans="1:13">
      <c r="A103" s="80" t="s">
        <v>156</v>
      </c>
      <c r="B103" s="93" t="s">
        <v>153</v>
      </c>
      <c r="C103" s="26">
        <v>16</v>
      </c>
      <c r="D103" s="93">
        <v>1999</v>
      </c>
      <c r="E103" s="94" t="s">
        <v>153</v>
      </c>
      <c r="F103" s="26">
        <f t="shared" si="16"/>
        <v>4</v>
      </c>
      <c r="G103" s="26">
        <v>2000</v>
      </c>
      <c r="H103" s="95" t="s">
        <v>162</v>
      </c>
      <c r="I103" s="18" t="str">
        <f t="shared" si="10"/>
        <v>16-Feb-1999</v>
      </c>
      <c r="J103" s="18" t="str">
        <f t="shared" si="11"/>
        <v>4-Feb-2000</v>
      </c>
      <c r="K103" s="114">
        <f t="shared" si="12"/>
        <v>36207</v>
      </c>
      <c r="L103" s="114">
        <f t="shared" si="13"/>
        <v>36560</v>
      </c>
      <c r="M103">
        <f t="shared" si="7"/>
        <v>353</v>
      </c>
    </row>
    <row r="104" spans="1:13">
      <c r="A104" s="80" t="s">
        <v>165</v>
      </c>
      <c r="B104" s="93" t="s">
        <v>153</v>
      </c>
      <c r="C104" s="26">
        <v>5</v>
      </c>
      <c r="D104" s="93">
        <v>2000</v>
      </c>
      <c r="E104" s="94" t="s">
        <v>151</v>
      </c>
      <c r="F104" s="26">
        <f t="shared" si="16"/>
        <v>23</v>
      </c>
      <c r="G104" s="26">
        <v>2001</v>
      </c>
      <c r="H104" s="95" t="s">
        <v>152</v>
      </c>
      <c r="I104" s="18" t="str">
        <f t="shared" si="10"/>
        <v>5-Feb-2000</v>
      </c>
      <c r="J104" s="18" t="str">
        <f t="shared" si="11"/>
        <v>23-Ene-2001</v>
      </c>
      <c r="K104" s="114">
        <f t="shared" si="12"/>
        <v>36561</v>
      </c>
      <c r="L104" s="114">
        <f t="shared" si="13"/>
        <v>36914</v>
      </c>
      <c r="M104">
        <f t="shared" si="7"/>
        <v>353</v>
      </c>
    </row>
    <row r="105" spans="1:13">
      <c r="A105" s="80" t="s">
        <v>158</v>
      </c>
      <c r="B105" s="93" t="s">
        <v>151</v>
      </c>
      <c r="C105" s="26">
        <v>24</v>
      </c>
      <c r="D105" s="93">
        <v>2001</v>
      </c>
      <c r="E105" s="94" t="s">
        <v>153</v>
      </c>
      <c r="F105" s="26">
        <f t="shared" si="16"/>
        <v>11</v>
      </c>
      <c r="G105" s="26">
        <v>2002</v>
      </c>
      <c r="H105" s="95" t="s">
        <v>152</v>
      </c>
      <c r="I105" s="18" t="str">
        <f t="shared" si="10"/>
        <v>24-Ene-2001</v>
      </c>
      <c r="J105" s="18" t="str">
        <f t="shared" si="11"/>
        <v>11-Feb-2002</v>
      </c>
      <c r="K105" s="114">
        <f t="shared" si="12"/>
        <v>36915</v>
      </c>
      <c r="L105" s="114">
        <f t="shared" si="13"/>
        <v>37298</v>
      </c>
      <c r="M105">
        <f t="shared" ref="M105:M123" si="17">+J105-I105</f>
        <v>383</v>
      </c>
    </row>
    <row r="106" spans="1:13">
      <c r="A106" s="80" t="s">
        <v>159</v>
      </c>
      <c r="B106" s="93" t="s">
        <v>153</v>
      </c>
      <c r="C106" s="26">
        <v>12</v>
      </c>
      <c r="D106" s="93">
        <v>2002</v>
      </c>
      <c r="E106" s="94" t="s">
        <v>151</v>
      </c>
      <c r="F106" s="26">
        <v>31</v>
      </c>
      <c r="G106" s="26">
        <v>2003</v>
      </c>
      <c r="H106" s="95" t="s">
        <v>155</v>
      </c>
      <c r="I106" s="18" t="str">
        <f t="shared" si="10"/>
        <v>12-Feb-2002</v>
      </c>
      <c r="J106" s="18" t="str">
        <f t="shared" si="11"/>
        <v>31-Ene-2003</v>
      </c>
      <c r="K106" s="114">
        <f t="shared" si="12"/>
        <v>37299</v>
      </c>
      <c r="L106" s="114">
        <f t="shared" si="13"/>
        <v>37652</v>
      </c>
      <c r="M106">
        <f t="shared" si="17"/>
        <v>353</v>
      </c>
    </row>
    <row r="107" spans="1:13">
      <c r="A107" s="80" t="s">
        <v>257</v>
      </c>
      <c r="B107" s="93" t="s">
        <v>153</v>
      </c>
      <c r="C107" s="26">
        <v>1</v>
      </c>
      <c r="D107" s="93">
        <v>2003</v>
      </c>
      <c r="E107" s="94" t="s">
        <v>151</v>
      </c>
      <c r="F107" s="26">
        <f t="shared" si="16"/>
        <v>21</v>
      </c>
      <c r="G107" s="26">
        <v>2004</v>
      </c>
      <c r="H107" s="95" t="s">
        <v>155</v>
      </c>
      <c r="I107" s="18" t="str">
        <f t="shared" si="10"/>
        <v>1-Feb-2003</v>
      </c>
      <c r="J107" s="18" t="str">
        <f t="shared" si="11"/>
        <v>21-Ene-2004</v>
      </c>
      <c r="K107" s="114">
        <f t="shared" si="12"/>
        <v>37653</v>
      </c>
      <c r="L107" s="114">
        <f t="shared" si="13"/>
        <v>38007</v>
      </c>
      <c r="M107">
        <f t="shared" si="17"/>
        <v>354</v>
      </c>
    </row>
    <row r="108" spans="1:13">
      <c r="A108" s="80" t="s">
        <v>161</v>
      </c>
      <c r="B108" s="93" t="s">
        <v>151</v>
      </c>
      <c r="C108" s="26">
        <v>22</v>
      </c>
      <c r="D108" s="93">
        <v>2004</v>
      </c>
      <c r="E108" s="94" t="s">
        <v>153</v>
      </c>
      <c r="F108" s="26">
        <f t="shared" si="16"/>
        <v>8</v>
      </c>
      <c r="G108" s="26">
        <v>2005</v>
      </c>
      <c r="H108" s="95" t="s">
        <v>157</v>
      </c>
      <c r="I108" s="18" t="str">
        <f t="shared" si="10"/>
        <v>22-Ene-2004</v>
      </c>
      <c r="J108" s="18" t="str">
        <f t="shared" si="11"/>
        <v>8-Feb-2005</v>
      </c>
      <c r="K108" s="114">
        <f t="shared" si="12"/>
        <v>38008</v>
      </c>
      <c r="L108" s="114">
        <f t="shared" si="13"/>
        <v>38391</v>
      </c>
      <c r="M108">
        <f t="shared" si="17"/>
        <v>383</v>
      </c>
    </row>
    <row r="109" spans="1:13">
      <c r="A109" s="80" t="s">
        <v>163</v>
      </c>
      <c r="B109" s="93" t="s">
        <v>153</v>
      </c>
      <c r="C109" s="26">
        <v>9</v>
      </c>
      <c r="D109" s="93">
        <v>2005</v>
      </c>
      <c r="E109" s="94" t="s">
        <v>151</v>
      </c>
      <c r="F109" s="26">
        <f t="shared" si="16"/>
        <v>28</v>
      </c>
      <c r="G109" s="26">
        <v>2006</v>
      </c>
      <c r="H109" s="95" t="s">
        <v>157</v>
      </c>
      <c r="I109" s="18" t="str">
        <f t="shared" si="10"/>
        <v>9-Feb-2005</v>
      </c>
      <c r="J109" s="18" t="str">
        <f t="shared" si="11"/>
        <v>28-Ene-2006</v>
      </c>
      <c r="K109" s="114">
        <f t="shared" si="12"/>
        <v>38392</v>
      </c>
      <c r="L109" s="114">
        <f t="shared" si="13"/>
        <v>38745</v>
      </c>
      <c r="M109">
        <f t="shared" si="17"/>
        <v>353</v>
      </c>
    </row>
    <row r="110" spans="1:13">
      <c r="A110" s="80" t="s">
        <v>164</v>
      </c>
      <c r="B110" s="93" t="s">
        <v>151</v>
      </c>
      <c r="C110" s="26">
        <v>29</v>
      </c>
      <c r="D110" s="93">
        <v>2006</v>
      </c>
      <c r="E110" s="94" t="s">
        <v>153</v>
      </c>
      <c r="F110" s="26">
        <f t="shared" si="16"/>
        <v>17</v>
      </c>
      <c r="G110" s="26">
        <v>2007</v>
      </c>
      <c r="H110" s="95" t="s">
        <v>160</v>
      </c>
      <c r="I110" s="18" t="str">
        <f t="shared" si="10"/>
        <v>29-Ene-2006</v>
      </c>
      <c r="J110" s="18" t="str">
        <f t="shared" si="11"/>
        <v>17-Feb-2007</v>
      </c>
      <c r="K110" s="114">
        <f t="shared" si="12"/>
        <v>38746</v>
      </c>
      <c r="L110" s="114">
        <f t="shared" si="13"/>
        <v>39130</v>
      </c>
      <c r="M110">
        <f t="shared" si="17"/>
        <v>384</v>
      </c>
    </row>
    <row r="111" spans="1:13" ht="13.5" thickBot="1">
      <c r="A111" s="85" t="s">
        <v>296</v>
      </c>
      <c r="B111" s="96" t="s">
        <v>153</v>
      </c>
      <c r="C111" s="29">
        <v>18</v>
      </c>
      <c r="D111" s="96">
        <v>2007</v>
      </c>
      <c r="E111" s="97" t="s">
        <v>153</v>
      </c>
      <c r="F111" s="29">
        <v>6</v>
      </c>
      <c r="G111" s="29">
        <v>2008</v>
      </c>
      <c r="H111" s="98" t="s">
        <v>160</v>
      </c>
      <c r="I111" s="18" t="str">
        <f t="shared" si="10"/>
        <v>18-Feb-2007</v>
      </c>
      <c r="J111" s="18" t="str">
        <f t="shared" si="11"/>
        <v>6-Feb-2008</v>
      </c>
      <c r="K111" s="114">
        <f t="shared" si="12"/>
        <v>39131</v>
      </c>
      <c r="L111" s="114">
        <f t="shared" si="13"/>
        <v>39484</v>
      </c>
      <c r="M111">
        <f t="shared" si="17"/>
        <v>353</v>
      </c>
    </row>
    <row r="112" spans="1:13">
      <c r="A112" s="181" t="s">
        <v>150</v>
      </c>
      <c r="B112" s="182" t="s">
        <v>153</v>
      </c>
      <c r="C112" s="183">
        <v>7</v>
      </c>
      <c r="D112" s="182">
        <f>+D100+12</f>
        <v>2008</v>
      </c>
      <c r="E112" s="184" t="s">
        <v>151</v>
      </c>
      <c r="F112" s="185">
        <v>25</v>
      </c>
      <c r="G112" s="183">
        <f t="shared" ref="G112:G123" si="18">+G100+12</f>
        <v>2009</v>
      </c>
      <c r="H112" s="186" t="s">
        <v>162</v>
      </c>
      <c r="I112" s="18" t="str">
        <f t="shared" ref="I112:I123" si="19">CONCATENATE(TEXT(C112,"##"),"-", MID(B112,1,3),"-",TEXT(D112,"###0"))</f>
        <v>7-Feb-2008</v>
      </c>
      <c r="J112" s="18" t="str">
        <f t="shared" ref="J112:J123" si="20">CONCATENATE(TEXT(F112,"##"),"-", MID(E112,1,3),"-",TEXT(G112,"###0"))</f>
        <v>25-Ene-2009</v>
      </c>
      <c r="K112" s="114">
        <f t="shared" ref="K112:K123" si="21">DATE(D112,MONTH(I112),C112)</f>
        <v>39485</v>
      </c>
      <c r="L112" s="114">
        <f t="shared" ref="L112:L123" si="22">DATE(G112,MONTH(J112),F112)</f>
        <v>39838</v>
      </c>
      <c r="M112">
        <f t="shared" si="17"/>
        <v>353</v>
      </c>
    </row>
    <row r="113" spans="1:13">
      <c r="A113" s="187" t="s">
        <v>256</v>
      </c>
      <c r="B113" s="188" t="s">
        <v>151</v>
      </c>
      <c r="C113" s="189">
        <f>+F112+1</f>
        <v>26</v>
      </c>
      <c r="D113" s="188">
        <f t="shared" ref="D113:D123" si="23">+D101+12</f>
        <v>2009</v>
      </c>
      <c r="E113" s="190" t="s">
        <v>153</v>
      </c>
      <c r="F113" s="189">
        <v>13</v>
      </c>
      <c r="G113" s="189">
        <f t="shared" si="18"/>
        <v>2010</v>
      </c>
      <c r="H113" s="191" t="s">
        <v>162</v>
      </c>
      <c r="I113" s="18" t="str">
        <f t="shared" si="19"/>
        <v>26-Ene-2009</v>
      </c>
      <c r="J113" s="18" t="str">
        <f t="shared" si="20"/>
        <v>13-Feb-2010</v>
      </c>
      <c r="K113" s="114">
        <f t="shared" si="21"/>
        <v>39839</v>
      </c>
      <c r="L113" s="114">
        <f t="shared" si="22"/>
        <v>40222</v>
      </c>
      <c r="M113">
        <f t="shared" si="17"/>
        <v>383</v>
      </c>
    </row>
    <row r="114" spans="1:13">
      <c r="A114" s="187" t="s">
        <v>154</v>
      </c>
      <c r="B114" s="188" t="s">
        <v>153</v>
      </c>
      <c r="C114" s="189">
        <f t="shared" ref="C114:C121" si="24">+F113+1</f>
        <v>14</v>
      </c>
      <c r="D114" s="188">
        <f t="shared" si="23"/>
        <v>2010</v>
      </c>
      <c r="E114" s="190" t="s">
        <v>153</v>
      </c>
      <c r="F114" s="189">
        <v>2</v>
      </c>
      <c r="G114" s="189">
        <f t="shared" si="18"/>
        <v>2011</v>
      </c>
      <c r="H114" s="191" t="s">
        <v>152</v>
      </c>
      <c r="I114" s="18" t="str">
        <f t="shared" si="19"/>
        <v>14-Feb-2010</v>
      </c>
      <c r="J114" s="18" t="str">
        <f t="shared" si="20"/>
        <v>2-Feb-2011</v>
      </c>
      <c r="K114" s="114">
        <f t="shared" si="21"/>
        <v>40223</v>
      </c>
      <c r="L114" s="114">
        <f t="shared" si="22"/>
        <v>40576</v>
      </c>
      <c r="M114">
        <f t="shared" si="17"/>
        <v>353</v>
      </c>
    </row>
    <row r="115" spans="1:13">
      <c r="A115" s="187" t="s">
        <v>156</v>
      </c>
      <c r="B115" s="188" t="s">
        <v>153</v>
      </c>
      <c r="C115" s="189">
        <f t="shared" si="24"/>
        <v>3</v>
      </c>
      <c r="D115" s="188">
        <f t="shared" si="23"/>
        <v>2011</v>
      </c>
      <c r="E115" s="190" t="s">
        <v>151</v>
      </c>
      <c r="F115" s="189">
        <v>22</v>
      </c>
      <c r="G115" s="189">
        <f t="shared" si="18"/>
        <v>2012</v>
      </c>
      <c r="H115" s="191" t="s">
        <v>152</v>
      </c>
      <c r="I115" s="18" t="str">
        <f t="shared" si="19"/>
        <v>3-Feb-2011</v>
      </c>
      <c r="J115" s="18" t="str">
        <f t="shared" si="20"/>
        <v>22-Ene-2012</v>
      </c>
      <c r="K115" s="114">
        <f t="shared" si="21"/>
        <v>40577</v>
      </c>
      <c r="L115" s="114">
        <f t="shared" si="22"/>
        <v>40930</v>
      </c>
      <c r="M115">
        <f t="shared" si="17"/>
        <v>353</v>
      </c>
    </row>
    <row r="116" spans="1:13">
      <c r="A116" s="187" t="s">
        <v>165</v>
      </c>
      <c r="B116" s="188" t="s">
        <v>151</v>
      </c>
      <c r="C116" s="189">
        <f t="shared" si="24"/>
        <v>23</v>
      </c>
      <c r="D116" s="188">
        <f t="shared" si="23"/>
        <v>2012</v>
      </c>
      <c r="E116" s="190" t="s">
        <v>153</v>
      </c>
      <c r="F116" s="189">
        <v>9</v>
      </c>
      <c r="G116" s="189">
        <f t="shared" si="18"/>
        <v>2013</v>
      </c>
      <c r="H116" s="191" t="s">
        <v>155</v>
      </c>
      <c r="I116" s="18" t="str">
        <f t="shared" si="19"/>
        <v>23-Ene-2012</v>
      </c>
      <c r="J116" s="18" t="str">
        <f t="shared" si="20"/>
        <v>9-Feb-2013</v>
      </c>
      <c r="K116" s="114">
        <f t="shared" si="21"/>
        <v>40931</v>
      </c>
      <c r="L116" s="114">
        <f t="shared" si="22"/>
        <v>41314</v>
      </c>
      <c r="M116">
        <f t="shared" si="17"/>
        <v>383</v>
      </c>
    </row>
    <row r="117" spans="1:13">
      <c r="A117" s="187" t="s">
        <v>158</v>
      </c>
      <c r="B117" s="188" t="s">
        <v>153</v>
      </c>
      <c r="C117" s="189">
        <f t="shared" si="24"/>
        <v>10</v>
      </c>
      <c r="D117" s="188">
        <f t="shared" si="23"/>
        <v>2013</v>
      </c>
      <c r="E117" s="190" t="s">
        <v>151</v>
      </c>
      <c r="F117" s="189">
        <v>30</v>
      </c>
      <c r="G117" s="189">
        <f t="shared" si="18"/>
        <v>2014</v>
      </c>
      <c r="H117" s="191" t="s">
        <v>155</v>
      </c>
      <c r="I117" s="18" t="str">
        <f t="shared" si="19"/>
        <v>10-Feb-2013</v>
      </c>
      <c r="J117" s="18" t="str">
        <f t="shared" si="20"/>
        <v>30-Ene-2014</v>
      </c>
      <c r="K117" s="114">
        <f t="shared" si="21"/>
        <v>41315</v>
      </c>
      <c r="L117" s="114">
        <f t="shared" si="22"/>
        <v>41669</v>
      </c>
      <c r="M117">
        <f t="shared" si="17"/>
        <v>354</v>
      </c>
    </row>
    <row r="118" spans="1:13">
      <c r="A118" s="187" t="s">
        <v>159</v>
      </c>
      <c r="B118" s="188" t="s">
        <v>151</v>
      </c>
      <c r="C118" s="189">
        <f t="shared" si="24"/>
        <v>31</v>
      </c>
      <c r="D118" s="188">
        <f t="shared" si="23"/>
        <v>2014</v>
      </c>
      <c r="E118" s="190" t="s">
        <v>153</v>
      </c>
      <c r="F118" s="189">
        <v>18</v>
      </c>
      <c r="G118" s="189">
        <f t="shared" si="18"/>
        <v>2015</v>
      </c>
      <c r="H118" s="191" t="s">
        <v>157</v>
      </c>
      <c r="I118" s="18" t="str">
        <f t="shared" si="19"/>
        <v>31-Ene-2014</v>
      </c>
      <c r="J118" s="18" t="str">
        <f t="shared" si="20"/>
        <v>18-Feb-2015</v>
      </c>
      <c r="K118" s="114">
        <f t="shared" si="21"/>
        <v>41670</v>
      </c>
      <c r="L118" s="114">
        <f t="shared" si="22"/>
        <v>42053</v>
      </c>
      <c r="M118">
        <f t="shared" si="17"/>
        <v>383</v>
      </c>
    </row>
    <row r="119" spans="1:13">
      <c r="A119" s="187" t="s">
        <v>257</v>
      </c>
      <c r="B119" s="188" t="s">
        <v>153</v>
      </c>
      <c r="C119" s="189">
        <f t="shared" si="24"/>
        <v>19</v>
      </c>
      <c r="D119" s="188">
        <f t="shared" si="23"/>
        <v>2015</v>
      </c>
      <c r="E119" s="190" t="s">
        <v>153</v>
      </c>
      <c r="F119" s="189">
        <v>7</v>
      </c>
      <c r="G119" s="189">
        <f t="shared" si="18"/>
        <v>2016</v>
      </c>
      <c r="H119" s="191" t="s">
        <v>157</v>
      </c>
      <c r="I119" s="18" t="str">
        <f t="shared" si="19"/>
        <v>19-Feb-2015</v>
      </c>
      <c r="J119" s="18" t="str">
        <f t="shared" si="20"/>
        <v>7-Feb-2016</v>
      </c>
      <c r="K119" s="114">
        <f t="shared" si="21"/>
        <v>42054</v>
      </c>
      <c r="L119" s="114">
        <f t="shared" si="22"/>
        <v>42407</v>
      </c>
      <c r="M119">
        <f t="shared" si="17"/>
        <v>353</v>
      </c>
    </row>
    <row r="120" spans="1:13">
      <c r="A120" s="187" t="s">
        <v>161</v>
      </c>
      <c r="B120" s="188" t="s">
        <v>153</v>
      </c>
      <c r="C120" s="189">
        <f t="shared" si="24"/>
        <v>8</v>
      </c>
      <c r="D120" s="188">
        <f t="shared" si="23"/>
        <v>2016</v>
      </c>
      <c r="E120" s="190" t="s">
        <v>151</v>
      </c>
      <c r="F120" s="189">
        <v>27</v>
      </c>
      <c r="G120" s="189">
        <f t="shared" si="18"/>
        <v>2017</v>
      </c>
      <c r="H120" s="191" t="s">
        <v>160</v>
      </c>
      <c r="I120" s="18" t="str">
        <f t="shared" si="19"/>
        <v>8-Feb-2016</v>
      </c>
      <c r="J120" s="18" t="str">
        <f t="shared" si="20"/>
        <v>27-Ene-2017</v>
      </c>
      <c r="K120" s="114">
        <f t="shared" si="21"/>
        <v>42408</v>
      </c>
      <c r="L120" s="114">
        <f t="shared" si="22"/>
        <v>42762</v>
      </c>
      <c r="M120">
        <f t="shared" si="17"/>
        <v>354</v>
      </c>
    </row>
    <row r="121" spans="1:13">
      <c r="A121" s="187" t="s">
        <v>163</v>
      </c>
      <c r="B121" s="188" t="s">
        <v>151</v>
      </c>
      <c r="C121" s="189">
        <f t="shared" si="24"/>
        <v>28</v>
      </c>
      <c r="D121" s="188">
        <f t="shared" si="23"/>
        <v>2017</v>
      </c>
      <c r="E121" s="190" t="s">
        <v>153</v>
      </c>
      <c r="F121" s="189">
        <v>15</v>
      </c>
      <c r="G121" s="189">
        <f t="shared" si="18"/>
        <v>2018</v>
      </c>
      <c r="H121" s="191" t="s">
        <v>160</v>
      </c>
      <c r="I121" s="18" t="str">
        <f t="shared" si="19"/>
        <v>28-Ene-2017</v>
      </c>
      <c r="J121" s="18" t="str">
        <f t="shared" si="20"/>
        <v>15-Feb-2018</v>
      </c>
      <c r="K121" s="114">
        <f t="shared" si="21"/>
        <v>42763</v>
      </c>
      <c r="L121" s="114">
        <f t="shared" si="22"/>
        <v>43146</v>
      </c>
      <c r="M121">
        <f t="shared" si="17"/>
        <v>383</v>
      </c>
    </row>
    <row r="122" spans="1:13">
      <c r="A122" s="187" t="s">
        <v>164</v>
      </c>
      <c r="B122" s="188" t="s">
        <v>153</v>
      </c>
      <c r="C122" s="189">
        <f>+F121+1</f>
        <v>16</v>
      </c>
      <c r="D122" s="188">
        <f t="shared" si="23"/>
        <v>2018</v>
      </c>
      <c r="E122" s="190" t="s">
        <v>153</v>
      </c>
      <c r="F122" s="189">
        <v>4</v>
      </c>
      <c r="G122" s="189">
        <f t="shared" si="18"/>
        <v>2019</v>
      </c>
      <c r="H122" s="191" t="s">
        <v>162</v>
      </c>
      <c r="I122" s="18" t="str">
        <f t="shared" si="19"/>
        <v>16-Feb-2018</v>
      </c>
      <c r="J122" s="18" t="str">
        <f t="shared" si="20"/>
        <v>4-Feb-2019</v>
      </c>
      <c r="K122" s="114">
        <f t="shared" si="21"/>
        <v>43147</v>
      </c>
      <c r="L122" s="114">
        <f t="shared" si="22"/>
        <v>43500</v>
      </c>
      <c r="M122">
        <f t="shared" si="17"/>
        <v>353</v>
      </c>
    </row>
    <row r="123" spans="1:13" ht="13.5" thickBot="1">
      <c r="A123" s="192" t="s">
        <v>296</v>
      </c>
      <c r="B123" s="193" t="s">
        <v>153</v>
      </c>
      <c r="C123" s="194">
        <f>+F122+1</f>
        <v>5</v>
      </c>
      <c r="D123" s="193">
        <f t="shared" si="23"/>
        <v>2019</v>
      </c>
      <c r="E123" s="195" t="s">
        <v>151</v>
      </c>
      <c r="F123" s="194">
        <v>24</v>
      </c>
      <c r="G123" s="194">
        <f t="shared" si="18"/>
        <v>2020</v>
      </c>
      <c r="H123" s="196" t="s">
        <v>162</v>
      </c>
      <c r="I123" s="18" t="str">
        <f t="shared" si="19"/>
        <v>5-Feb-2019</v>
      </c>
      <c r="J123" s="18" t="str">
        <f t="shared" si="20"/>
        <v>24-Ene-2020</v>
      </c>
      <c r="K123" s="114">
        <f t="shared" si="21"/>
        <v>43501</v>
      </c>
      <c r="L123" s="114">
        <f t="shared" si="22"/>
        <v>43854</v>
      </c>
      <c r="M123">
        <f t="shared" si="17"/>
        <v>353</v>
      </c>
    </row>
    <row r="124" spans="1:13">
      <c r="A124" s="181" t="s">
        <v>150</v>
      </c>
      <c r="B124" s="182" t="s">
        <v>151</v>
      </c>
      <c r="C124" s="183">
        <v>25</v>
      </c>
      <c r="D124" s="182">
        <v>2020</v>
      </c>
      <c r="E124" s="184" t="s">
        <v>151</v>
      </c>
      <c r="F124" s="185">
        <v>13</v>
      </c>
      <c r="G124" s="183">
        <v>2021</v>
      </c>
      <c r="H124" s="186" t="s">
        <v>152</v>
      </c>
      <c r="I124" s="18" t="str">
        <f t="shared" ref="I124:I135" si="25">CONCATENATE(TEXT(C124,"##"),"-", MID(B124,1,3),"-",TEXT(D124,"###0"))</f>
        <v>25-Ene-2020</v>
      </c>
      <c r="J124" s="18" t="str">
        <f t="shared" ref="J124:J135" si="26">CONCATENATE(TEXT(F124,"##"),"-", MID(E124,1,3),"-",TEXT(G124,"###0"))</f>
        <v>13-Ene-2021</v>
      </c>
      <c r="K124" s="114">
        <f t="shared" ref="K124:K135" si="27">DATE(D124,MONTH(I124),C124)</f>
        <v>43855</v>
      </c>
      <c r="L124" s="114">
        <f t="shared" ref="L124:L135" si="28">DATE(G124,MONTH(J124),F124)</f>
        <v>44209</v>
      </c>
      <c r="M124">
        <f t="shared" ref="M124:M135" si="29">+J124-I124</f>
        <v>354</v>
      </c>
    </row>
    <row r="125" spans="1:13">
      <c r="A125" s="187" t="s">
        <v>256</v>
      </c>
      <c r="B125" s="188" t="s">
        <v>151</v>
      </c>
      <c r="C125" s="189">
        <v>14</v>
      </c>
      <c r="D125" s="188">
        <v>2021</v>
      </c>
      <c r="E125" s="190" t="s">
        <v>153</v>
      </c>
      <c r="F125" s="189">
        <v>1</v>
      </c>
      <c r="G125" s="189">
        <v>2022</v>
      </c>
      <c r="H125" s="191" t="s">
        <v>152</v>
      </c>
      <c r="I125" s="18" t="str">
        <f t="shared" si="25"/>
        <v>14-Ene-2021</v>
      </c>
      <c r="J125" s="18" t="str">
        <f t="shared" si="26"/>
        <v>1-Feb-2022</v>
      </c>
      <c r="K125" s="114">
        <f t="shared" si="27"/>
        <v>44210</v>
      </c>
      <c r="L125" s="114">
        <f t="shared" si="28"/>
        <v>44593</v>
      </c>
      <c r="M125">
        <f t="shared" si="29"/>
        <v>383</v>
      </c>
    </row>
    <row r="126" spans="1:13">
      <c r="A126" s="187" t="s">
        <v>154</v>
      </c>
      <c r="B126" s="188" t="s">
        <v>153</v>
      </c>
      <c r="C126" s="189">
        <v>2</v>
      </c>
      <c r="D126" s="188">
        <v>2022</v>
      </c>
      <c r="E126" s="190" t="s">
        <v>151</v>
      </c>
      <c r="F126" s="189">
        <v>21</v>
      </c>
      <c r="G126" s="189">
        <v>2023</v>
      </c>
      <c r="H126" s="191" t="s">
        <v>155</v>
      </c>
      <c r="I126" s="18" t="str">
        <f t="shared" si="25"/>
        <v>2-Feb-2022</v>
      </c>
      <c r="J126" s="18" t="str">
        <f t="shared" si="26"/>
        <v>21-Ene-2023</v>
      </c>
      <c r="K126" s="114">
        <f t="shared" si="27"/>
        <v>44594</v>
      </c>
      <c r="L126" s="114">
        <f t="shared" si="28"/>
        <v>44947</v>
      </c>
      <c r="M126">
        <f t="shared" si="29"/>
        <v>353</v>
      </c>
    </row>
    <row r="127" spans="1:13">
      <c r="A127" s="187" t="s">
        <v>156</v>
      </c>
      <c r="B127" s="188" t="s">
        <v>151</v>
      </c>
      <c r="C127" s="189">
        <v>22</v>
      </c>
      <c r="D127" s="188">
        <v>2023</v>
      </c>
      <c r="E127" s="190" t="s">
        <v>153</v>
      </c>
      <c r="F127" s="189">
        <v>9</v>
      </c>
      <c r="G127" s="189">
        <v>2024</v>
      </c>
      <c r="H127" s="191" t="s">
        <v>155</v>
      </c>
      <c r="I127" s="18" t="str">
        <f t="shared" si="25"/>
        <v>22-Ene-2023</v>
      </c>
      <c r="J127" s="18" t="str">
        <f t="shared" si="26"/>
        <v>9-Feb-2024</v>
      </c>
      <c r="K127" s="114">
        <f t="shared" si="27"/>
        <v>44948</v>
      </c>
      <c r="L127" s="114">
        <f t="shared" si="28"/>
        <v>45331</v>
      </c>
      <c r="M127">
        <f t="shared" si="29"/>
        <v>383</v>
      </c>
    </row>
    <row r="128" spans="1:13">
      <c r="A128" s="187" t="s">
        <v>165</v>
      </c>
      <c r="B128" s="188" t="s">
        <v>153</v>
      </c>
      <c r="C128" s="189">
        <v>10</v>
      </c>
      <c r="D128" s="188">
        <v>2024</v>
      </c>
      <c r="E128" s="190" t="s">
        <v>151</v>
      </c>
      <c r="F128" s="189">
        <v>29</v>
      </c>
      <c r="G128" s="189">
        <v>2025</v>
      </c>
      <c r="H128" s="191" t="s">
        <v>157</v>
      </c>
      <c r="I128" s="18" t="str">
        <f t="shared" si="25"/>
        <v>10-Feb-2024</v>
      </c>
      <c r="J128" s="18" t="str">
        <f t="shared" si="26"/>
        <v>29-Ene-2025</v>
      </c>
      <c r="K128" s="114">
        <f t="shared" si="27"/>
        <v>45332</v>
      </c>
      <c r="L128" s="114">
        <f t="shared" si="28"/>
        <v>45686</v>
      </c>
      <c r="M128">
        <f t="shared" si="29"/>
        <v>354</v>
      </c>
    </row>
    <row r="129" spans="1:13">
      <c r="A129" s="187" t="s">
        <v>158</v>
      </c>
      <c r="B129" s="188" t="s">
        <v>151</v>
      </c>
      <c r="C129" s="189">
        <v>30</v>
      </c>
      <c r="D129" s="188">
        <v>2025</v>
      </c>
      <c r="E129" s="190" t="s">
        <v>153</v>
      </c>
      <c r="F129" s="189">
        <v>17</v>
      </c>
      <c r="G129" s="189">
        <v>2026</v>
      </c>
      <c r="H129" s="191" t="s">
        <v>157</v>
      </c>
      <c r="I129" s="18" t="str">
        <f t="shared" si="25"/>
        <v>30-Ene-2025</v>
      </c>
      <c r="J129" s="18" t="str">
        <f t="shared" si="26"/>
        <v>17-Feb-2026</v>
      </c>
      <c r="K129" s="114">
        <f t="shared" si="27"/>
        <v>45687</v>
      </c>
      <c r="L129" s="114">
        <f t="shared" si="28"/>
        <v>46070</v>
      </c>
      <c r="M129">
        <f t="shared" si="29"/>
        <v>383</v>
      </c>
    </row>
    <row r="130" spans="1:13">
      <c r="A130" s="187" t="s">
        <v>159</v>
      </c>
      <c r="B130" s="188" t="s">
        <v>153</v>
      </c>
      <c r="C130" s="189">
        <v>18</v>
      </c>
      <c r="D130" s="188">
        <v>2026</v>
      </c>
      <c r="E130" s="190" t="s">
        <v>153</v>
      </c>
      <c r="F130" s="189">
        <v>6</v>
      </c>
      <c r="G130" s="189">
        <v>2027</v>
      </c>
      <c r="H130" s="191" t="s">
        <v>160</v>
      </c>
      <c r="I130" s="18" t="str">
        <f t="shared" si="25"/>
        <v>18-Feb-2026</v>
      </c>
      <c r="J130" s="18" t="str">
        <f t="shared" si="26"/>
        <v>6-Feb-2027</v>
      </c>
      <c r="K130" s="114">
        <f t="shared" si="27"/>
        <v>46071</v>
      </c>
      <c r="L130" s="114">
        <f t="shared" si="28"/>
        <v>46424</v>
      </c>
      <c r="M130">
        <f t="shared" si="29"/>
        <v>353</v>
      </c>
    </row>
    <row r="131" spans="1:13">
      <c r="A131" s="187" t="s">
        <v>257</v>
      </c>
      <c r="B131" s="188" t="s">
        <v>153</v>
      </c>
      <c r="C131" s="189">
        <v>7</v>
      </c>
      <c r="D131" s="188">
        <v>2027</v>
      </c>
      <c r="E131" s="190" t="s">
        <v>151</v>
      </c>
      <c r="F131" s="189">
        <v>26</v>
      </c>
      <c r="G131" s="189">
        <v>2028</v>
      </c>
      <c r="H131" s="191" t="s">
        <v>160</v>
      </c>
      <c r="I131" s="18" t="str">
        <f t="shared" si="25"/>
        <v>7-Feb-2027</v>
      </c>
      <c r="J131" s="18" t="str">
        <f t="shared" si="26"/>
        <v>26-Ene-2028</v>
      </c>
      <c r="K131" s="114">
        <f t="shared" si="27"/>
        <v>46425</v>
      </c>
      <c r="L131" s="114">
        <f t="shared" si="28"/>
        <v>46778</v>
      </c>
      <c r="M131">
        <f t="shared" si="29"/>
        <v>353</v>
      </c>
    </row>
    <row r="132" spans="1:13">
      <c r="A132" s="187" t="s">
        <v>161</v>
      </c>
      <c r="B132" s="188" t="s">
        <v>151</v>
      </c>
      <c r="C132" s="189">
        <v>27</v>
      </c>
      <c r="D132" s="188">
        <v>2028</v>
      </c>
      <c r="E132" s="190" t="s">
        <v>153</v>
      </c>
      <c r="F132" s="189">
        <v>13</v>
      </c>
      <c r="G132" s="189">
        <v>2029</v>
      </c>
      <c r="H132" s="191" t="s">
        <v>162</v>
      </c>
      <c r="I132" s="18" t="str">
        <f t="shared" si="25"/>
        <v>27-Ene-2028</v>
      </c>
      <c r="J132" s="18" t="str">
        <f t="shared" si="26"/>
        <v>13-Feb-2029</v>
      </c>
      <c r="K132" s="114">
        <f t="shared" si="27"/>
        <v>46779</v>
      </c>
      <c r="L132" s="114">
        <f t="shared" si="28"/>
        <v>47162</v>
      </c>
      <c r="M132">
        <f t="shared" si="29"/>
        <v>383</v>
      </c>
    </row>
    <row r="133" spans="1:13">
      <c r="A133" s="187" t="s">
        <v>163</v>
      </c>
      <c r="B133" s="188" t="s">
        <v>153</v>
      </c>
      <c r="C133" s="189">
        <v>14</v>
      </c>
      <c r="D133" s="188">
        <v>2029</v>
      </c>
      <c r="E133" s="190" t="s">
        <v>151</v>
      </c>
      <c r="F133" s="189">
        <v>4</v>
      </c>
      <c r="G133" s="189">
        <v>2030</v>
      </c>
      <c r="H133" s="191" t="s">
        <v>162</v>
      </c>
      <c r="I133" s="18" t="str">
        <f t="shared" si="25"/>
        <v>14-Feb-2029</v>
      </c>
      <c r="J133" s="18" t="str">
        <f t="shared" si="26"/>
        <v>4-Ene-2030</v>
      </c>
      <c r="K133" s="114">
        <f t="shared" si="27"/>
        <v>47163</v>
      </c>
      <c r="L133" s="114">
        <f t="shared" si="28"/>
        <v>47487</v>
      </c>
      <c r="M133">
        <f t="shared" si="29"/>
        <v>324</v>
      </c>
    </row>
    <row r="134" spans="1:13">
      <c r="A134" s="187" t="s">
        <v>164</v>
      </c>
      <c r="B134" s="188" t="s">
        <v>151</v>
      </c>
      <c r="C134" s="189">
        <v>5</v>
      </c>
      <c r="D134" s="188">
        <v>2030</v>
      </c>
      <c r="E134" s="190" t="s">
        <v>153</v>
      </c>
      <c r="F134" s="189">
        <v>23</v>
      </c>
      <c r="G134" s="189">
        <v>2031</v>
      </c>
      <c r="H134" s="191" t="s">
        <v>152</v>
      </c>
      <c r="I134" s="18" t="str">
        <f t="shared" si="25"/>
        <v>5-Ene-2030</v>
      </c>
      <c r="J134" s="18" t="str">
        <f t="shared" si="26"/>
        <v>23-Feb-2031</v>
      </c>
      <c r="K134" s="114">
        <f t="shared" si="27"/>
        <v>47488</v>
      </c>
      <c r="L134" s="114">
        <f t="shared" si="28"/>
        <v>47902</v>
      </c>
      <c r="M134">
        <f t="shared" si="29"/>
        <v>414</v>
      </c>
    </row>
    <row r="135" spans="1:13" ht="13.5" thickBot="1">
      <c r="A135" s="192" t="s">
        <v>296</v>
      </c>
      <c r="B135" s="193" t="s">
        <v>153</v>
      </c>
      <c r="C135" s="194">
        <v>24</v>
      </c>
      <c r="D135" s="193">
        <v>2031</v>
      </c>
      <c r="E135" s="195" t="s">
        <v>151</v>
      </c>
      <c r="F135" s="194">
        <v>12</v>
      </c>
      <c r="G135" s="194">
        <v>2032</v>
      </c>
      <c r="H135" s="196" t="s">
        <v>152</v>
      </c>
      <c r="I135" s="18" t="str">
        <f t="shared" si="25"/>
        <v>24-Feb-2031</v>
      </c>
      <c r="J135" s="18" t="str">
        <f t="shared" si="26"/>
        <v>12-Ene-2032</v>
      </c>
      <c r="K135" s="114">
        <f t="shared" si="27"/>
        <v>47903</v>
      </c>
      <c r="L135" s="114">
        <f t="shared" si="28"/>
        <v>48225</v>
      </c>
      <c r="M135">
        <f t="shared" si="29"/>
        <v>322</v>
      </c>
    </row>
    <row r="136" spans="1:13">
      <c r="A136" s="181" t="s">
        <v>150</v>
      </c>
      <c r="B136" s="182"/>
      <c r="C136" s="183"/>
      <c r="D136" s="182"/>
      <c r="E136" s="184"/>
      <c r="F136" s="185"/>
      <c r="G136" s="183"/>
      <c r="H136" s="186"/>
      <c r="I136" s="18"/>
      <c r="J136" s="18"/>
      <c r="K136" s="114"/>
      <c r="L136" s="114"/>
    </row>
    <row r="137" spans="1:13">
      <c r="A137" s="187" t="s">
        <v>256</v>
      </c>
      <c r="B137" s="188"/>
      <c r="C137" s="189"/>
      <c r="D137" s="188"/>
      <c r="E137" s="190"/>
      <c r="F137" s="189"/>
      <c r="G137" s="189"/>
      <c r="H137" s="191"/>
      <c r="I137" s="18"/>
      <c r="J137" s="18"/>
      <c r="K137" s="114"/>
      <c r="L137" s="114"/>
    </row>
    <row r="138" spans="1:13">
      <c r="A138" s="187" t="s">
        <v>154</v>
      </c>
      <c r="B138" s="188"/>
      <c r="C138" s="189"/>
      <c r="D138" s="188"/>
      <c r="E138" s="190"/>
      <c r="F138" s="189"/>
      <c r="G138" s="189"/>
      <c r="H138" s="191"/>
      <c r="I138" s="18"/>
      <c r="J138" s="18"/>
      <c r="K138" s="114"/>
      <c r="L138" s="114"/>
    </row>
    <row r="139" spans="1:13">
      <c r="A139" s="187" t="s">
        <v>156</v>
      </c>
      <c r="B139" s="188"/>
      <c r="C139" s="189"/>
      <c r="D139" s="188"/>
      <c r="E139" s="190"/>
      <c r="F139" s="189"/>
      <c r="G139" s="189"/>
      <c r="H139" s="191"/>
      <c r="I139" s="18"/>
      <c r="J139" s="18"/>
      <c r="K139" s="114"/>
      <c r="L139" s="114"/>
    </row>
    <row r="140" spans="1:13">
      <c r="A140" s="187" t="s">
        <v>165</v>
      </c>
      <c r="B140" s="188"/>
      <c r="C140" s="189"/>
      <c r="D140" s="188"/>
      <c r="E140" s="190"/>
      <c r="F140" s="189"/>
      <c r="G140" s="189"/>
      <c r="H140" s="191"/>
      <c r="I140" s="18"/>
      <c r="J140" s="18"/>
      <c r="K140" s="114"/>
      <c r="L140" s="114"/>
    </row>
    <row r="141" spans="1:13">
      <c r="A141" s="187" t="s">
        <v>158</v>
      </c>
      <c r="B141" s="188"/>
      <c r="C141" s="189"/>
      <c r="D141" s="188"/>
      <c r="E141" s="190"/>
      <c r="F141" s="189"/>
      <c r="G141" s="189"/>
      <c r="H141" s="191"/>
      <c r="I141" s="18"/>
      <c r="J141" s="18"/>
      <c r="K141" s="114"/>
      <c r="L141" s="114"/>
    </row>
    <row r="142" spans="1:13">
      <c r="A142" s="187" t="s">
        <v>159</v>
      </c>
      <c r="B142" s="188"/>
      <c r="C142" s="189"/>
      <c r="D142" s="188"/>
      <c r="E142" s="190"/>
      <c r="F142" s="189"/>
      <c r="G142" s="189"/>
      <c r="H142" s="191"/>
      <c r="I142" s="18"/>
      <c r="J142" s="18"/>
      <c r="K142" s="114"/>
      <c r="L142" s="114"/>
    </row>
    <row r="143" spans="1:13">
      <c r="A143" s="187" t="s">
        <v>257</v>
      </c>
      <c r="B143" s="188"/>
      <c r="C143" s="189"/>
      <c r="D143" s="188"/>
      <c r="E143" s="190"/>
      <c r="F143" s="189"/>
      <c r="G143" s="189"/>
      <c r="H143" s="191"/>
      <c r="I143" s="18"/>
      <c r="J143" s="18"/>
      <c r="K143" s="114"/>
      <c r="L143" s="114"/>
    </row>
    <row r="144" spans="1:13">
      <c r="A144" s="187" t="s">
        <v>161</v>
      </c>
      <c r="B144" s="188"/>
      <c r="C144" s="189"/>
      <c r="D144" s="188"/>
      <c r="E144" s="190"/>
      <c r="F144" s="189"/>
      <c r="G144" s="189"/>
      <c r="H144" s="191"/>
      <c r="I144" s="18"/>
      <c r="J144" s="18"/>
      <c r="K144" s="114"/>
      <c r="L144" s="114"/>
    </row>
    <row r="145" spans="1:12">
      <c r="A145" s="187" t="s">
        <v>163</v>
      </c>
      <c r="B145" s="188"/>
      <c r="C145" s="189"/>
      <c r="D145" s="188"/>
      <c r="E145" s="190"/>
      <c r="F145" s="189"/>
      <c r="G145" s="189"/>
      <c r="H145" s="191"/>
      <c r="I145" s="18"/>
      <c r="J145" s="18"/>
      <c r="K145" s="114"/>
      <c r="L145" s="114"/>
    </row>
    <row r="146" spans="1:12">
      <c r="A146" s="187" t="s">
        <v>164</v>
      </c>
      <c r="B146" s="188"/>
      <c r="C146" s="189"/>
      <c r="D146" s="188"/>
      <c r="E146" s="190"/>
      <c r="F146" s="189"/>
      <c r="G146" s="189"/>
      <c r="H146" s="191"/>
      <c r="I146" s="18"/>
      <c r="J146" s="18"/>
      <c r="K146" s="114"/>
      <c r="L146" s="114"/>
    </row>
    <row r="147" spans="1:12" ht="13.5" thickBot="1">
      <c r="A147" s="192" t="s">
        <v>296</v>
      </c>
      <c r="B147" s="193"/>
      <c r="C147" s="194"/>
      <c r="D147" s="193"/>
      <c r="E147" s="195"/>
      <c r="F147" s="194"/>
      <c r="G147" s="194"/>
      <c r="H147" s="196"/>
      <c r="I147" s="18"/>
      <c r="J147" s="18"/>
      <c r="K147" s="114"/>
      <c r="L147" s="114"/>
    </row>
    <row r="148" spans="1:12">
      <c r="A148" s="231"/>
      <c r="B148" s="46"/>
      <c r="C148" s="232"/>
      <c r="D148" s="46"/>
      <c r="E148" s="233"/>
      <c r="F148" s="232"/>
      <c r="G148" s="232"/>
      <c r="H148" s="231"/>
      <c r="I148" s="18"/>
      <c r="J148" s="18"/>
      <c r="K148" s="114"/>
      <c r="L148" s="114"/>
    </row>
    <row r="149" spans="1:12">
      <c r="A149" s="231"/>
      <c r="B149" s="46"/>
      <c r="C149" s="232"/>
      <c r="D149" s="46"/>
      <c r="E149" s="233"/>
      <c r="F149" s="232"/>
      <c r="G149" s="232"/>
      <c r="H149" s="231"/>
      <c r="I149" s="18"/>
      <c r="J149" s="18"/>
      <c r="K149" s="114"/>
      <c r="L149" s="114"/>
    </row>
    <row r="150" spans="1:12">
      <c r="A150" s="106" t="s">
        <v>150</v>
      </c>
    </row>
    <row r="151" spans="1:12">
      <c r="A151" s="106" t="s">
        <v>256</v>
      </c>
    </row>
    <row r="152" spans="1:12">
      <c r="A152" s="106" t="s">
        <v>154</v>
      </c>
    </row>
    <row r="153" spans="1:12">
      <c r="A153" s="106" t="s">
        <v>156</v>
      </c>
    </row>
    <row r="154" spans="1:12">
      <c r="A154" s="106" t="s">
        <v>165</v>
      </c>
    </row>
    <row r="155" spans="1:12">
      <c r="A155" s="106" t="s">
        <v>158</v>
      </c>
    </row>
    <row r="156" spans="1:12">
      <c r="A156" s="106" t="s">
        <v>159</v>
      </c>
    </row>
    <row r="157" spans="1:12">
      <c r="A157" s="106" t="s">
        <v>257</v>
      </c>
    </row>
    <row r="158" spans="1:12">
      <c r="A158" s="106" t="s">
        <v>161</v>
      </c>
    </row>
    <row r="159" spans="1:12">
      <c r="A159" s="106" t="s">
        <v>163</v>
      </c>
    </row>
    <row r="160" spans="1:12">
      <c r="A160" s="106" t="s">
        <v>164</v>
      </c>
    </row>
    <row r="161" spans="1:1">
      <c r="A161" s="106" t="s">
        <v>296</v>
      </c>
    </row>
    <row r="162" spans="1:1">
      <c r="A162" s="106" t="s">
        <v>150</v>
      </c>
    </row>
  </sheetData>
  <mergeCells count="5">
    <mergeCell ref="A1:H1"/>
    <mergeCell ref="A2:A3"/>
    <mergeCell ref="B2:D2"/>
    <mergeCell ref="E2:G2"/>
    <mergeCell ref="H2:H3"/>
  </mergeCells>
  <phoneticPr fontId="11" type="noConversion"/>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1"/>
  <sheetViews>
    <sheetView topLeftCell="B7" workbookViewId="0">
      <selection sqref="A1:F1"/>
    </sheetView>
  </sheetViews>
  <sheetFormatPr baseColWidth="10" defaultRowHeight="12.75"/>
  <cols>
    <col min="1" max="1" width="6" customWidth="1"/>
    <col min="2" max="33" width="4.7109375" customWidth="1"/>
  </cols>
  <sheetData>
    <row r="1" spans="2:36" ht="327" customHeight="1" thickBot="1">
      <c r="B1" s="476" t="str">
        <f>IF(AI1="NADA",AJ1,AI1)</f>
        <v>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v>
      </c>
      <c r="C1" s="310"/>
      <c r="D1" s="310"/>
      <c r="E1" s="310"/>
      <c r="F1" s="310"/>
      <c r="G1" s="310"/>
      <c r="H1" s="310"/>
      <c r="I1" s="310"/>
      <c r="J1" s="310"/>
      <c r="K1" s="311"/>
      <c r="M1" s="309" t="str">
        <f>IF(AI2="NADA",AJ2,AI2)</f>
        <v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v>
      </c>
      <c r="N1" s="310"/>
      <c r="O1" s="310"/>
      <c r="P1" s="310"/>
      <c r="Q1" s="310"/>
      <c r="R1" s="310"/>
      <c r="S1" s="310"/>
      <c r="T1" s="310"/>
      <c r="U1" s="310"/>
      <c r="V1" s="311"/>
      <c r="X1" s="309" t="str">
        <f>IF(AI3="NADA",AJ3,AI3)</f>
        <v>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v>
      </c>
      <c r="Y1" s="310"/>
      <c r="Z1" s="310"/>
      <c r="AA1" s="310"/>
      <c r="AB1" s="310"/>
      <c r="AC1" s="310"/>
      <c r="AD1" s="310"/>
      <c r="AE1" s="310"/>
      <c r="AF1" s="310"/>
      <c r="AG1" s="311"/>
      <c r="AH1" t="str">
        <f>LOOKUP(Ki!C8,Horóscopo!K4:L123,Horóscopo!A4:A123)</f>
        <v>Serpiente</v>
      </c>
      <c r="AI1" t="str">
        <f>IF(AH1=Signos!A1,Signos!A3,IF(AH1=Signos!B1,Signos!B3,IF(AH1=Signos!C1,Signos!C3,IF(AH1=Signos!D1,Signos!D3,IF(AH1=Signos!E1,Signos!E3,IF(AH1=Signos!F1,Signos!F3,IF(AH1=Signos!G1,Signos!G3,IF(AH1=Signos!H1,Signos!H3,"NADA"))))))))</f>
        <v>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v>
      </c>
      <c r="AJ1" s="203" t="str">
        <f>IF(AI1="NADA",IF(AH1=Signos!I1,Signos!I3,IF(AH1=Signos!J1,Signos!J3,IF(AH1=Signos!K1,Signos!K3,Signos!L3))),"NADA")</f>
        <v>NADA</v>
      </c>
    </row>
    <row r="2" spans="2:36" ht="18.75" customHeight="1" thickBot="1">
      <c r="B2" s="470" t="str">
        <f>IF(AI4="NADA",AJ4,AI4)</f>
        <v>Personajes Serpiente:</v>
      </c>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2"/>
      <c r="AH2" t="str">
        <f>LOOKUP(Ki!C8,Horóscopo!K4:L123,Horóscopo!A4:A123)</f>
        <v>Serpiente</v>
      </c>
      <c r="AI2" t="str">
        <f>IF(AH1=Signos!A1,Signos!A5,IF(AH1=Signos!B1,Signos!B5,IF(AH1=Signos!C1,Signos!C5,IF(AH1=Signos!D1,Signos!D5,IF(AH1=Signos!E1,Signos!E5,IF(AH1=Signos!F1,Signos!F5,IF(AH1=Signos!G1,Signos!G5,IF(AH1=Signos!H1,Signos!H5,"NADA"))))))))</f>
        <v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v>
      </c>
      <c r="AJ2" t="str">
        <f>IF(AI1="NADA",IF(AH1=Signos!I1,Signos!I5,IF(AH1=Signos!J1,Signos!J5,IF(AH1=Signos!K1,Signos!K3,Signos!L5))),"NADA")</f>
        <v>NADA</v>
      </c>
    </row>
    <row r="3" spans="2:36" ht="67.5" customHeight="1" thickBot="1">
      <c r="B3" s="473" t="str">
        <f>IF(AI5="NADA",AJ5,AI5)</f>
        <v>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v>
      </c>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5"/>
      <c r="AH3" t="str">
        <f>LOOKUP(Ki!C8,Horóscopo!K4:L123,Horóscopo!A4:A123)</f>
        <v>Serpiente</v>
      </c>
      <c r="AI3" t="str">
        <f>IF(AH1=Signos!A1,Signos!A7,IF(AH1=Signos!B1,Signos!B7,IF(AH1=Signos!C1,Signos!C7,IF(AH1=Signos!D1,Signos!D7,IF(AH1=Signos!E1,Signos!E7,IF(AH1=Signos!F1,Signos!F7,IF(AH1=Signos!G1,Signos!G7,IF(AH1=Signos!H1,Signos!H7,"NADA"))))))))</f>
        <v>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v>
      </c>
      <c r="AJ3" t="str">
        <f>IF(AI1="NADA",IF(AH1=Signos!I1,Signos!I7,IF(AH1=Signos!J1,Signos!J7,IF(AH1=Signos!K1,Signos!K7,Signos!L3))),"NADA")</f>
        <v>NADA</v>
      </c>
    </row>
    <row r="4" spans="2:36" ht="13.5" thickBot="1">
      <c r="AH4" t="str">
        <f>LOOKUP(Ki!C8,Horóscopo!K4:L123,Horóscopo!A4:A123)</f>
        <v>Serpiente</v>
      </c>
      <c r="AI4" t="str">
        <f>IF(AH1=Signos!A1,Signos!A9,IF(AH1=Signos!B1,Signos!B9,IF(AH1=Signos!C1,Signos!C9,IF(AH1=Signos!D1,Signos!D9,IF(AH1=Signos!E1,Signos!E9,IF(AH1=Signos!F1,Signos!F9,IF(AH1=Signos!G1,Signos!G9,IF(AH1=Signos!H1,Signos!H9,"NADA"))))))))</f>
        <v>Personajes Serpiente:</v>
      </c>
      <c r="AJ4" t="str">
        <f>IF(AI1="NADA",IF(AH1=Signos!I1,Signos!I9,IF(AH1=Signos!J1,Signos!J9,IF(AH1=Signos!K1,Signos!K3,Signos!L9))),"NADA")</f>
        <v>NADA</v>
      </c>
    </row>
    <row r="5" spans="2:36" ht="327" customHeight="1" thickBot="1">
      <c r="B5" s="309" t="str">
        <f>IF(LOOKUP(Ki!C8,Horóscopo!K4:L123,Horóscopo!A4:A123)=Signos!H1,Signos!H3,IF(LOOKUP(Ki!C8,Horóscopo!K4:L123,Horóscopo!A4:A123)=Signos!I1,Signos!I3,IF(LOOKUP(Ki!C8,Horóscopo!K4:L123,Horóscopo!A4:A123)=Signos!J1,Signos!J3,IF(LOOKUP(Ki!C8,Horóscopo!K4:L123,Horóscopo!A4:A123)=Signos!K1,Signos!K3,Signos!L3))))</f>
        <v>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v>
      </c>
      <c r="C5" s="310"/>
      <c r="D5" s="310"/>
      <c r="E5" s="310"/>
      <c r="F5" s="310"/>
      <c r="G5" s="310"/>
      <c r="H5" s="310"/>
      <c r="I5" s="310"/>
      <c r="J5" s="310"/>
      <c r="K5" s="311"/>
      <c r="M5" s="309" t="str">
        <f>IF(LOOKUP(Ki!C8,Horóscopo!K4:L123,Horóscopo!A4:A123)=Signos!H1,Signos!H5,IF(LOOKUP(Ki!C8,Horóscopo!K4:L123,Horóscopo!A4:A123)=Signos!I1,Signos!I5,IF(LOOKUP(Ki!C8,Horóscopo!K4:L123,Horóscopo!A4:A123)=Signos!J1,Signos!J5,IF(LOOKUP(Ki!C8,Horóscopo!K4:L123,Horóscopo!A4:A123)=Signos!K1,Signos!K5,Signos!L5))))</f>
        <v>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v>
      </c>
      <c r="N5" s="310"/>
      <c r="O5" s="310"/>
      <c r="P5" s="310"/>
      <c r="Q5" s="310"/>
      <c r="R5" s="310"/>
      <c r="S5" s="310"/>
      <c r="T5" s="310"/>
      <c r="U5" s="310"/>
      <c r="V5" s="311"/>
      <c r="X5" s="309" t="str">
        <f>IF(LOOKUP(Ki!C8,Horóscopo!K4:L123,Horóscopo!A4:A123)=Signos!H1,Signos!H7,IF(LOOKUP(Ki!C8,Horóscopo!K4:L123,Horóscopo!A4:A123)=Signos!I1,Signos!I7,IF(LOOKUP(Ki!C8,Horóscopo!K4:L123,Horóscopo!A4:A123)=Signos!J1,Signos!J7,IF(LOOKUP(Ki!C8,Horóscopo!K4:L123,Horóscopo!A4:A123)=Signos!K1,Signos!K7,Signos!L7))))</f>
        <v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v>
      </c>
      <c r="Y5" s="310"/>
      <c r="Z5" s="310"/>
      <c r="AA5" s="310"/>
      <c r="AB5" s="310"/>
      <c r="AC5" s="310"/>
      <c r="AD5" s="310"/>
      <c r="AE5" s="310"/>
      <c r="AF5" s="310"/>
      <c r="AG5" s="311"/>
      <c r="AH5" t="str">
        <f>LOOKUP(Ki!C8,Horóscopo!K4:L123,Horóscopo!A4:A123)</f>
        <v>Serpiente</v>
      </c>
      <c r="AI5" t="str">
        <f>IF(AH1=Signos!A1,Signos!A11,IF(AH1=Signos!B1,Signos!B11,IF(AH1=Signos!C1,Signos!C9,IF(AH1=Signos!D1,Signos!D11,IF(AH1=Signos!E1,Signos!E11,IF(AH1=Signos!F1,Signos!F11,IF(AH1=Signos!G1,Signos!G11,IF(AH1=Signos!H1,Signos!H11,"NADA"))))))))</f>
        <v>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v>
      </c>
      <c r="AJ5" t="str">
        <f>IF(AI2="NADA",IF(AH2=Signos!I2,Signos!I11,IF(AH2=Signos!J2,Signos!J11,IF(AH2=Signos!K2,Signos!K4,Signos!L11))),"NADA")</f>
        <v>NADA</v>
      </c>
    </row>
    <row r="6" spans="2:36" ht="18.75" customHeight="1" thickBot="1">
      <c r="B6" s="470" t="str">
        <f>IF(LOOKUP(Ki!C8,Horóscopo!K4:L123,Horóscopo!A4:A123)=Signos!A1,Signos!A9,IF(LOOKUP(Ki!C8,Horóscopo!K4:L123,Horóscopo!A4:A123)=Signos!B1,Signos!B9,IF(LOOKUP(Ki!C8,Horóscopo!K4:L123,Horóscopo!A4:A123)=Signos!C1,Signos!C9,IF(LOOKUP(Ki!C8,Horóscopo!K4:L123,Horóscopo!A4:A123)=Signos!D1,Signos!D9,IF(LOOKUP(Ki!C8,Horóscopo!K4:L123,Horóscopo!A4:A123)=Signos!E1,Signos!E9,IF(LOOKUP(Ki!C8,Horóscopo!K4:L123,Horóscopo!A4:A123)=Signos!F1,Signos!F9,IF(LOOKUP(Ki!C8,Horóscopo!K4:L123,Horóscopo!A4:A123)=Signos!G1,Signos!G9,"NO")))))))</f>
        <v>Personajes Serpiente:</v>
      </c>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2"/>
    </row>
    <row r="7" spans="2:36" ht="67.5" customHeight="1" thickBot="1">
      <c r="B7" s="473" t="str">
        <f>IF(LOOKUP(Ki!C8,Horóscopo!K4:L123,Horóscopo!A4:A123)=Signos!H1,Signos!H11,IF(LOOKUP(Ki!C8,Horóscopo!K4:L123,Horóscopo!A4:A123)=Signos!I1,Signos!I11,IF(LOOKUP(Ki!C8,Horóscopo!K4:L123,Horóscopo!A4:A123)=Signos!J1,Signos!J11,IF(LOOKUP(Ki!C8,Horóscopo!K4:L123,Horóscopo!A4:A123)=Signos!K1,Signos!K11,Signos!L11))))</f>
        <v>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v>
      </c>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5"/>
    </row>
    <row r="8" spans="2:36" ht="13.5" thickBot="1"/>
    <row r="9" spans="2:36" ht="327" customHeight="1" thickBot="1">
      <c r="B9" s="309" t="str">
        <f>IF(B1="NO",B5,B1)</f>
        <v>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v>
      </c>
      <c r="C9" s="310"/>
      <c r="D9" s="310"/>
      <c r="E9" s="310"/>
      <c r="F9" s="310"/>
      <c r="G9" s="310"/>
      <c r="H9" s="310"/>
      <c r="I9" s="310"/>
      <c r="J9" s="310"/>
      <c r="K9" s="311"/>
      <c r="M9" s="309" t="str">
        <f>IF(M1="NO",M5,M1)</f>
        <v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v>
      </c>
      <c r="N9" s="310"/>
      <c r="O9" s="310"/>
      <c r="P9" s="310"/>
      <c r="Q9" s="310"/>
      <c r="R9" s="310"/>
      <c r="S9" s="310"/>
      <c r="T9" s="310"/>
      <c r="U9" s="310"/>
      <c r="V9" s="311"/>
      <c r="X9" s="309" t="str">
        <f>IF(X1="NO",X5,X1)</f>
        <v>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v>
      </c>
      <c r="Y9" s="310"/>
      <c r="Z9" s="310"/>
      <c r="AA9" s="310"/>
      <c r="AB9" s="310"/>
      <c r="AC9" s="310"/>
      <c r="AD9" s="310"/>
      <c r="AE9" s="310"/>
      <c r="AF9" s="310"/>
      <c r="AG9" s="311"/>
    </row>
    <row r="10" spans="2:36" ht="18.75" customHeight="1" thickBot="1">
      <c r="B10" s="470" t="str">
        <f>IF(B2="NO",B6,B2)</f>
        <v>Personajes Serpiente:</v>
      </c>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2"/>
    </row>
    <row r="11" spans="2:36" ht="67.5" customHeight="1" thickBot="1">
      <c r="B11" s="473" t="str">
        <f>IF(B3="NO",B7,B3)</f>
        <v>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v>
      </c>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5"/>
    </row>
  </sheetData>
  <mergeCells count="15">
    <mergeCell ref="B5:K5"/>
    <mergeCell ref="M5:V5"/>
    <mergeCell ref="X5:AG5"/>
    <mergeCell ref="B1:K1"/>
    <mergeCell ref="M1:V1"/>
    <mergeCell ref="X1:AG1"/>
    <mergeCell ref="B2:AG2"/>
    <mergeCell ref="B3:AG3"/>
    <mergeCell ref="B10:AG10"/>
    <mergeCell ref="B11:AG11"/>
    <mergeCell ref="B6:AG6"/>
    <mergeCell ref="B7:AG7"/>
    <mergeCell ref="B9:K9"/>
    <mergeCell ref="M9:V9"/>
    <mergeCell ref="X9:AG9"/>
  </mergeCells>
  <phoneticPr fontId="11"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Ki</vt:lpstr>
      <vt:lpstr>Predicción x Casa</vt:lpstr>
      <vt:lpstr>Compativilidad de Pareja</vt:lpstr>
      <vt:lpstr>1a estrella</vt:lpstr>
      <vt:lpstr>2a Estrella </vt:lpstr>
      <vt:lpstr>Cálculo de 2a. Estrella</vt:lpstr>
      <vt:lpstr>3a Estrella</vt:lpstr>
      <vt:lpstr>Horóscopo</vt:lpstr>
      <vt:lpstr>Signo Resultado</vt:lpstr>
      <vt:lpstr>Ascendente</vt:lpstr>
      <vt:lpstr>Signos</vt:lpstr>
      <vt:lpstr>Hoja1</vt:lpstr>
      <vt:lpstr>Hoja2</vt:lpstr>
      <vt:lpstr>'2a Estrella '!Área_de_impresión</vt:lpstr>
      <vt:lpstr>Ki!Área_de_impresión</vt:lpstr>
      <vt:lpstr>NOMBRE</vt:lpstr>
      <vt:lpstr>simbolo</vt:lpstr>
      <vt:lpstr>Ki!Títulos_a_imprimir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Zetina Munoz, Jose Roberto</dc:creator>
  <cp:lastModifiedBy>rober</cp:lastModifiedBy>
  <cp:lastPrinted>2019-08-12T16:11:54Z</cp:lastPrinted>
  <dcterms:created xsi:type="dcterms:W3CDTF">2006-05-19T16:35:56Z</dcterms:created>
  <dcterms:modified xsi:type="dcterms:W3CDTF">2019-08-14T01:22:08Z</dcterms:modified>
</cp:coreProperties>
</file>